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 Dashboard" sheetId="1" state="visible" r:id="rId1"/>
    <sheet xmlns:r="http://schemas.openxmlformats.org/officeDocument/2006/relationships" name="1. SOR Register" sheetId="2" state="visible" r:id="rId2"/>
    <sheet xmlns:r="http://schemas.openxmlformats.org/officeDocument/2006/relationships" name="2. NCR Register" sheetId="3" state="visible" r:id="rId3"/>
    <sheet xmlns:r="http://schemas.openxmlformats.org/officeDocument/2006/relationships" name="3. Escalation Matrix" sheetId="4" state="visible" r:id="rId4"/>
    <sheet xmlns:r="http://schemas.openxmlformats.org/officeDocument/2006/relationships" name="4. Root Cause and CAPA" sheetId="5" state="visible" r:id="rId5"/>
    <sheet xmlns:r="http://schemas.openxmlformats.org/officeDocument/2006/relationships" name="5. Closure Evidence Checklist" sheetId="6" state="visible" r:id="rId6"/>
    <sheet xmlns:r="http://schemas.openxmlformats.org/officeDocument/2006/relationships" name="6. Authority Matrix" sheetId="7" state="visible" r:id="rId7"/>
    <sheet xmlns:r="http://schemas.openxmlformats.org/officeDocument/2006/relationships" name="7. Authority Tracker" sheetId="8" state="visible" r:id="rId8"/>
    <sheet xmlns:r="http://schemas.openxmlformats.org/officeDocument/2006/relationships" name="8. KPI Dashboard" sheetId="9" state="visible" r:id="rId9"/>
    <sheet xmlns:r="http://schemas.openxmlformats.org/officeDocument/2006/relationships" name="9. RACI" sheetId="10" state="visible" r:id="rId10"/>
    <sheet xmlns:r="http://schemas.openxmlformats.org/officeDocument/2006/relationships" name="10. SOR Form" sheetId="11" state="visible" r:id="rId11"/>
    <sheet xmlns:r="http://schemas.openxmlformats.org/officeDocument/2006/relationships" name="11. NCR Form" sheetId="12" state="visible" r:id="rId12"/>
    <sheet xmlns:r="http://schemas.openxmlformats.org/officeDocument/2006/relationships" name="12. Closure Certificate" sheetId="13" state="visible" r:id="rId13"/>
    <sheet xmlns:r="http://schemas.openxmlformats.org/officeDocument/2006/relationships" name="13. Definitions and References" sheetId="14" state="visible" r:id="rId14"/>
    <sheet xmlns:r="http://schemas.openxmlformats.org/officeDocument/2006/relationships" name="14. Major NCR Field Aid" sheetId="15" state="visible" r:id="rId15"/>
    <sheet xmlns:r="http://schemas.openxmlformats.org/officeDocument/2006/relationships" name="15. Major NCR Checklist" sheetId="16" state="visible" r:id="rId16"/>
    <sheet xmlns:r="http://schemas.openxmlformats.org/officeDocument/2006/relationships" name="16. Closure Audit Tracker" sheetId="17" state="visible" r:id="rId17"/>
    <sheet xmlns:r="http://schemas.openxmlformats.org/officeDocument/2006/relationships" name="17. Decennial Risk Register" sheetId="18" state="visible" r:id="rId18"/>
    <sheet xmlns:r="http://schemas.openxmlformats.org/officeDocument/2006/relationships" name="18. RCA CAPA Tracker" sheetId="19" state="visible" r:id="rId19"/>
    <sheet xmlns:r="http://schemas.openxmlformats.org/officeDocument/2006/relationships" name="19. Risk Alert Engine" sheetId="20" state="visible" r:id="rId20"/>
  </sheets>
  <definedNames>
    <definedName name="_xlnm.Print_Area" localSheetId="0">'0. Dashboard'!$A$1:$B$47</definedName>
    <definedName name="_xlnm._FilterDatabase" localSheetId="1" hidden="1">'1. SOR Register'!$A$4:$T$204</definedName>
    <definedName name="_xlnm.Print_Area" localSheetId="1">'1. SOR Register'!$A$1:$T$204</definedName>
    <definedName name="_xlnm._FilterDatabase" localSheetId="2" hidden="1">'2. NCR Register'!$A$4:$AL$204</definedName>
    <definedName name="_xlnm.Print_Area" localSheetId="2">'2. NCR Register'!$A$1:$AL$204</definedName>
    <definedName name="_xlnm.Print_Area" localSheetId="3">'3. Escalation Matrix'!$A$1:$E$30</definedName>
    <definedName name="_xlnm.Print_Area" localSheetId="4">'4. Root Cause and CAPA'!$A$1:$G$28</definedName>
    <definedName name="_xlnm.Print_Area" localSheetId="5">'5. Closure Evidence Checklist'!$A$1:$D$14</definedName>
    <definedName name="_xlnm._FilterDatabase" localSheetId="6" hidden="1">'6. Authority Matrix'!$A$4:$M$74</definedName>
    <definedName name="_xlnm.Print_Area" localSheetId="6">'6. Authority Matrix'!$A$1:$M$74</definedName>
    <definedName name="_xlnm._FilterDatabase" localSheetId="7" hidden="1">'7. Authority Tracker'!$A$4:$N$104</definedName>
    <definedName name="_xlnm.Print_Area" localSheetId="7">'7. Authority Tracker'!$A$1:$N$104</definedName>
    <definedName name="_xlnm.Print_Area" localSheetId="9">'9. RACI'!$A$1:$H$19</definedName>
    <definedName name="_xlnm.Print_Area" localSheetId="10">'10. SOR Form'!$A$1:$B$31</definedName>
    <definedName name="_xlnm.Print_Area" localSheetId="11">'11. NCR Form'!$A$1:$B$61</definedName>
    <definedName name="_xlnm.Print_Area" localSheetId="12">'12. Closure Certificate'!$A$1:$E$27</definedName>
    <definedName name="_xlnm.Print_Area" localSheetId="14">'14. Major NCR Field Aid'!$A$1:$D$70</definedName>
    <definedName name="_xlnm._FilterDatabase" localSheetId="15" hidden="1">'15. Major NCR Checklist'!$A$4:$J$42</definedName>
    <definedName name="_xlnm.Print_Area" localSheetId="15">'15. Major NCR Checklist'!$A$1:$J$42</definedName>
    <definedName name="_xlnm.Print_Titles" localSheetId="16">'16. Closure Audit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-mmm-yyyy"/>
  </numFmts>
  <fonts count="19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color rgb="00595959"/>
      <sz val="8"/>
    </font>
    <font>
      <name val="Calibri"/>
      <b val="1"/>
      <color rgb="001F3864"/>
      <sz val="10"/>
    </font>
    <font>
      <name val="Calibri"/>
      <sz val="9"/>
    </font>
    <font>
      <name val="Calibri"/>
      <color rgb="00000000"/>
      <sz val="10"/>
    </font>
    <font>
      <name val="Calibri"/>
      <b val="1"/>
      <color rgb="00FFFFFF"/>
      <sz val="9"/>
    </font>
    <font>
      <name val="Calibri"/>
      <b val="1"/>
      <sz val="9"/>
    </font>
    <font>
      <name val="Calibri"/>
      <i val="1"/>
      <sz val="8"/>
    </font>
    <font>
      <name val="Calibri"/>
      <sz val="8"/>
    </font>
    <font>
      <name val="Calibri"/>
      <b val="1"/>
      <color rgb="002E5C8A"/>
      <sz val="11"/>
    </font>
    <font>
      <name val="Calibri"/>
      <b val="1"/>
      <color rgb="001F3864"/>
      <sz val="14"/>
    </font>
    <font>
      <name val="Calibri"/>
      <b val="1"/>
      <color rgb="001F3864"/>
      <sz val="13"/>
    </font>
    <font>
      <name val="Calibri"/>
      <i val="1"/>
      <color rgb="005A5A5A"/>
      <sz val="9"/>
    </font>
    <font>
      <name val="Calibri"/>
      <b val="1"/>
      <color rgb="00FFFFFF"/>
      <sz val="8.5"/>
    </font>
    <font>
      <name val="Calibri"/>
      <sz val="8.5"/>
    </font>
    <font>
      <name val="Calibri"/>
      <b val="1"/>
      <sz val="8.5"/>
    </font>
    <font>
      <name val="Calibri"/>
      <b val="1"/>
      <color rgb="001F3864"/>
      <sz val="11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F2F5FA"/>
      </patternFill>
    </fill>
    <fill>
      <patternFill patternType="solid">
        <fgColor rgb="00FFF7E6"/>
      </patternFill>
    </fill>
    <fill>
      <patternFill patternType="solid">
        <fgColor rgb="001F3864"/>
      </patternFill>
    </fill>
    <fill>
      <patternFill patternType="solid">
        <fgColor rgb="00EAF1F8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49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top"/>
    </xf>
    <xf numFmtId="49" fontId="8" fillId="0" borderId="1" applyAlignment="1" pivotButton="0" quotePrefix="0" xfId="0">
      <alignment horizontal="center" vertical="top"/>
    </xf>
    <xf numFmtId="164" fontId="8" fillId="0" borderId="1" applyAlignment="1" pivotButton="0" quotePrefix="0" xfId="0">
      <alignment horizontal="center" vertical="top"/>
    </xf>
    <xf numFmtId="0" fontId="8" fillId="0" borderId="1" applyAlignment="1" pivotButton="0" quotePrefix="0" xfId="0">
      <alignment horizontal="center" vertical="top"/>
    </xf>
    <xf numFmtId="0" fontId="8" fillId="0" borderId="1" applyAlignment="1" pivotButton="0" quotePrefix="0" xfId="0">
      <alignment vertical="top" wrapText="1"/>
    </xf>
    <xf numFmtId="3" fontId="8" fillId="0" borderId="1" applyAlignment="1" pivotButton="0" quotePrefix="0" xfId="0">
      <alignment horizontal="center" vertical="top"/>
    </xf>
    <xf numFmtId="0" fontId="4" fillId="5" borderId="1" applyAlignment="1" pivotButton="0" quotePrefix="0" xfId="0">
      <alignment vertical="top" wrapText="1"/>
    </xf>
    <xf numFmtId="3" fontId="4" fillId="0" borderId="1" applyAlignment="1" pivotButton="0" quotePrefix="0" xfId="0">
      <alignment horizontal="center" vertical="top"/>
    </xf>
    <xf numFmtId="0" fontId="4" fillId="2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0" fillId="3" borderId="1" pivotButton="0" quotePrefix="0" xfId="0"/>
    <xf numFmtId="0" fontId="4" fillId="0" borderId="1" applyAlignment="1" pivotButton="0" quotePrefix="0" xfId="0">
      <alignment vertical="center" wrapText="1"/>
    </xf>
    <xf numFmtId="1" fontId="4" fillId="5" borderId="1" applyAlignment="1" pivotButton="0" quotePrefix="0" xfId="0">
      <alignment horizontal="center" vertical="top"/>
    </xf>
    <xf numFmtId="0" fontId="4" fillId="2" borderId="1" applyAlignment="1" pivotButton="0" quotePrefix="0" xfId="0">
      <alignment vertical="center" wrapText="1"/>
    </xf>
    <xf numFmtId="9" fontId="4" fillId="5" borderId="1" applyAlignment="1" pivotButton="0" quotePrefix="0" xfId="0">
      <alignment horizontal="center" vertical="top"/>
    </xf>
    <xf numFmtId="165" fontId="4" fillId="5" borderId="1" applyAlignment="1" pivotButton="0" quotePrefix="0" xfId="0">
      <alignment horizontal="center" vertical="top"/>
    </xf>
    <xf numFmtId="3" fontId="4" fillId="5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3" fillId="2" borderId="1" pivotButton="0" quotePrefix="0" xfId="0"/>
    <xf numFmtId="0" fontId="4" fillId="5" borderId="1" pivotButton="0" quotePrefix="0" xfId="0"/>
    <xf numFmtId="0" fontId="10" fillId="0" borderId="0" pivotButton="0" quotePrefix="0" xfId="0"/>
    <xf numFmtId="0" fontId="0" fillId="3" borderId="1" applyAlignment="1" pivotButton="0" quotePrefix="0" xfId="0">
      <alignment vertical="top" wrapText="1"/>
    </xf>
    <xf numFmtId="0" fontId="4" fillId="3" borderId="1" pivotButton="0" quotePrefix="0" xfId="0"/>
    <xf numFmtId="0" fontId="11" fillId="0" borderId="0" pivotButton="0" quotePrefix="0" xfId="0"/>
    <xf numFmtId="164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4" fillId="4" borderId="2" applyAlignment="1" pivotButton="0" quotePrefix="0" xfId="0">
      <alignment horizontal="center" vertical="center" wrapText="1"/>
    </xf>
    <xf numFmtId="0" fontId="15" fillId="3" borderId="2" applyAlignment="1" pivotButton="0" quotePrefix="0" xfId="0">
      <alignment vertical="top" wrapText="1"/>
    </xf>
    <xf numFmtId="0" fontId="16" fillId="0" borderId="2" applyAlignment="1" pivotButton="0" quotePrefix="0" xfId="0">
      <alignment vertical="top" wrapText="1"/>
    </xf>
    <xf numFmtId="0" fontId="16" fillId="0" borderId="2" applyAlignment="1" pivotButton="0" quotePrefix="0" xfId="0">
      <alignment horizontal="center"/>
    </xf>
    <xf numFmtId="0" fontId="16" fillId="2" borderId="2" applyAlignment="1" pivotButton="0" quotePrefix="0" xfId="0">
      <alignment vertical="top" wrapText="1"/>
    </xf>
    <xf numFmtId="0" fontId="16" fillId="2" borderId="2" applyAlignment="1" pivotButton="0" quotePrefix="0" xfId="0">
      <alignment horizontal="center"/>
    </xf>
    <xf numFmtId="0" fontId="16" fillId="0" borderId="0" pivotButton="0" quotePrefix="0" xfId="0"/>
    <xf numFmtId="0" fontId="16" fillId="0" borderId="0" applyAlignment="1" pivotButton="0" quotePrefix="0" xfId="0">
      <alignment horizontal="center"/>
    </xf>
    <xf numFmtId="0" fontId="17" fillId="0" borderId="0" pivotButton="0" quotePrefix="0" xfId="0"/>
    <xf numFmtId="0" fontId="7" fillId="0" borderId="0" applyAlignment="1" pivotButton="0" quotePrefix="0" xfId="0">
      <alignment horizontal="center"/>
    </xf>
    <xf numFmtId="9" fontId="7" fillId="0" borderId="0" applyAlignment="1" pivotButton="0" quotePrefix="0" xfId="0">
      <alignment horizontal="center"/>
    </xf>
    <xf numFmtId="0" fontId="15" fillId="0" borderId="2" applyAlignment="1" pivotButton="0" quotePrefix="0" xfId="0">
      <alignment vertical="top" wrapText="1"/>
    </xf>
    <xf numFmtId="0" fontId="15" fillId="0" borderId="2" applyAlignment="1" pivotButton="0" quotePrefix="0" xfId="0">
      <alignment horizontal="center"/>
    </xf>
    <xf numFmtId="0" fontId="15" fillId="2" borderId="2" applyAlignment="1" pivotButton="0" quotePrefix="0" xfId="0">
      <alignment vertical="top" wrapText="1"/>
    </xf>
    <xf numFmtId="0" fontId="15" fillId="2" borderId="2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6" fontId="0" fillId="3" borderId="0" pivotButton="0" quotePrefix="0" xfId="0"/>
    <xf numFmtId="0" fontId="12" fillId="0" borderId="0" pivotButton="0" quotePrefix="0" xfId="0"/>
    <xf numFmtId="0" fontId="18" fillId="5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Non-conformances raised and closed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'8. KPI Dashboard'!B33</f>
            </strRef>
          </tx>
          <spPr>
            <a:ln xmlns:a="http://schemas.openxmlformats.org/drawingml/2006/main">
              <a:prstDash val="solid"/>
            </a:ln>
          </spPr>
          <cat>
            <numRef>
              <f>'8. KPI Dashboard'!$A$34:$A$45</f>
            </numRef>
          </cat>
          <val>
            <numRef>
              <f>'8. KPI Dashboard'!$B$34:$B$45</f>
            </numRef>
          </val>
        </ser>
        <ser>
          <idx val="1"/>
          <order val="1"/>
          <tx>
            <strRef>
              <f>'8. KPI Dashboard'!C33</f>
            </strRef>
          </tx>
          <spPr>
            <a:ln xmlns:a="http://schemas.openxmlformats.org/drawingml/2006/main">
              <a:prstDash val="solid"/>
            </a:ln>
          </spPr>
          <cat>
            <numRef>
              <f>'8. KPI Dashboard'!$A$34:$A$45</f>
            </numRef>
          </cat>
          <val>
            <numRef>
              <f>'8. KPI Dashboard'!$C$34:$C$45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78" customWidth="1" min="2" max="2"/>
  </cols>
  <sheetData>
    <row r="1" ht="24" customHeight="1">
      <c r="A1" s="1" t="inlineStr">
        <is>
          <t>SOR and NCR Control Workbook - Project Dashboard</t>
        </is>
      </c>
    </row>
    <row r="2">
      <c r="A2" s="2" t="inlineStr">
        <is>
          <t>Enter project data once. The registers, KPI sheet and print-ready forms load this information automatically.</t>
        </is>
      </c>
    </row>
    <row r="4">
      <c r="A4" s="3" t="inlineStr">
        <is>
          <t>Project name</t>
        </is>
      </c>
      <c r="B4" s="4" t="inlineStr">
        <is>
          <t>[Insert project name]</t>
        </is>
      </c>
    </row>
    <row r="5">
      <c r="A5" s="3" t="inlineStr">
        <is>
          <t>Project / contract number</t>
        </is>
      </c>
      <c r="B5" s="4" t="inlineStr">
        <is>
          <t>[Insert number]</t>
        </is>
      </c>
    </row>
    <row r="6">
      <c r="A6" s="3" t="inlineStr">
        <is>
          <t>Project location and emirate</t>
        </is>
      </c>
      <c r="B6" s="4" t="inlineStr">
        <is>
          <t>[e.g. Dubai - Business Bay]</t>
        </is>
      </c>
    </row>
    <row r="7">
      <c r="A7" s="3" t="inlineStr">
        <is>
          <t>Regulatory route</t>
        </is>
      </c>
      <c r="B7" s="4" t="inlineStr">
        <is>
          <t>[Dubai Municipality / DDA / Trakhees / free zone / Abu Dhabi DMT / other - state which]</t>
        </is>
      </c>
    </row>
    <row r="8">
      <c r="A8" s="3" t="inlineStr">
        <is>
          <t>Employer / client</t>
        </is>
      </c>
      <c r="B8" s="4" t="inlineStr">
        <is>
          <t>[Insert client]</t>
        </is>
      </c>
    </row>
    <row r="9">
      <c r="A9" s="3" t="inlineStr">
        <is>
          <t>Employer's Representative</t>
        </is>
      </c>
      <c r="B9" s="4" t="inlineStr">
        <is>
          <t>[Name and position]</t>
        </is>
      </c>
    </row>
    <row r="10">
      <c r="A10" s="3" t="inlineStr">
        <is>
          <t>Main contractor</t>
        </is>
      </c>
      <c r="B10" s="4" t="inlineStr">
        <is>
          <t>[Insert contractor]</t>
        </is>
      </c>
    </row>
    <row r="11">
      <c r="A11" s="3" t="inlineStr">
        <is>
          <t>Contractor QA/QC manager</t>
        </is>
      </c>
      <c r="B11" s="4" t="inlineStr">
        <is>
          <t>[Name]</t>
        </is>
      </c>
    </row>
    <row r="12">
      <c r="A12" s="3" t="inlineStr">
        <is>
          <t>PMC / consultant</t>
        </is>
      </c>
      <c r="B12" s="4" t="inlineStr">
        <is>
          <t>[Insert PMC]</t>
        </is>
      </c>
    </row>
    <row r="13">
      <c r="A13" s="3" t="inlineStr">
        <is>
          <t>PMC Project Director</t>
        </is>
      </c>
      <c r="B13" s="4" t="inlineStr">
        <is>
          <t>[Name]</t>
        </is>
      </c>
    </row>
    <row r="14">
      <c r="A14" s="3" t="inlineStr">
        <is>
          <t>PMC Resident Engineer</t>
        </is>
      </c>
      <c r="B14" s="4" t="inlineStr">
        <is>
          <t>[Name]</t>
        </is>
      </c>
    </row>
    <row r="15">
      <c r="A15" s="3" t="inlineStr">
        <is>
          <t>PMC Quality Manager</t>
        </is>
      </c>
      <c r="B15" s="4" t="inlineStr">
        <is>
          <t>[Name]</t>
        </is>
      </c>
    </row>
    <row r="16">
      <c r="A16" s="3" t="inlineStr">
        <is>
          <t>Contract form and edition</t>
        </is>
      </c>
      <c r="B16" s="4" t="inlineStr">
        <is>
          <t>[e.g. FIDIC Red Book 2017 with Particular Conditions]</t>
        </is>
      </c>
    </row>
    <row r="17">
      <c r="A17" s="3" t="inlineStr">
        <is>
          <t>Contract defects liability period</t>
        </is>
      </c>
      <c r="B17" s="4" t="inlineStr">
        <is>
          <t>[e.g. 12 months from taking-over]</t>
        </is>
      </c>
    </row>
    <row r="18">
      <c r="A18" s="3" t="inlineStr">
        <is>
          <t>SOR response period (calendar days)</t>
        </is>
      </c>
      <c r="B18" s="4" t="n">
        <v>3</v>
      </c>
    </row>
    <row r="19">
      <c r="A19" s="3" t="inlineStr">
        <is>
          <t>NCR acknowledgement period (hours)</t>
        </is>
      </c>
      <c r="B19" s="4" t="n">
        <v>48</v>
      </c>
    </row>
    <row r="20">
      <c r="A20" s="3" t="inlineStr">
        <is>
          <t>NCR minor response period (calendar days)</t>
        </is>
      </c>
      <c r="B20" s="4" t="n">
        <v>7</v>
      </c>
    </row>
    <row r="21">
      <c r="A21" s="3" t="inlineStr">
        <is>
          <t>NCR major response period (calendar days)</t>
        </is>
      </c>
      <c r="B21" s="4" t="n">
        <v>14</v>
      </c>
    </row>
    <row r="22">
      <c r="A22" s="3" t="inlineStr">
        <is>
          <t>Escalation trigger (days past due)</t>
        </is>
      </c>
      <c r="B22" s="4" t="n">
        <v>7</v>
      </c>
    </row>
    <row r="23">
      <c r="A23" s="3" t="inlineStr">
        <is>
          <t>EDMS platform</t>
        </is>
      </c>
      <c r="B23" s="4" t="inlineStr">
        <is>
          <t>[e.g. Aconex / Procore / Viewpoint / Asite / other]</t>
        </is>
      </c>
    </row>
    <row r="24">
      <c r="A24" s="3" t="inlineStr">
        <is>
          <t>Companion document reference</t>
        </is>
      </c>
      <c r="B24" s="4" t="inlineStr">
        <is>
          <t>PMC-QA-ART-001 Rev 01 - SOR and NCR on UAE construction sites</t>
        </is>
      </c>
    </row>
    <row r="25">
      <c r="A25" s="3" t="inlineStr">
        <is>
          <t>Workbook revision</t>
        </is>
      </c>
      <c r="B25" s="4" t="inlineStr">
        <is>
          <t>[Rev 01]</t>
        </is>
      </c>
    </row>
    <row r="26">
      <c r="A26" s="3" t="inlineStr">
        <is>
          <t>Date of issue</t>
        </is>
      </c>
      <c r="B26" s="4" t="inlineStr">
        <is>
          <t>[Insert date]</t>
        </is>
      </c>
    </row>
    <row r="27">
      <c r="A27" s="5" t="n"/>
      <c r="B27" s="6" t="n"/>
    </row>
    <row r="29">
      <c r="A29" s="7" t="inlineStr">
        <is>
          <t>Sheets in this workbook</t>
        </is>
      </c>
    </row>
    <row r="30">
      <c r="A30" s="8" t="inlineStr">
        <is>
          <t>1. SOR Register - observations with automatic ageing and overdue flags</t>
        </is>
      </c>
    </row>
    <row r="31">
      <c r="A31" s="8" t="inlineStr">
        <is>
          <t>2. NCR Register - non-conformances with class, root cause, CAPA, verification and closure</t>
        </is>
      </c>
    </row>
    <row r="32">
      <c r="A32" s="8" t="inlineStr">
        <is>
          <t>3. Escalation Matrix - decision rules and escalation ladder</t>
        </is>
      </c>
    </row>
    <row r="33">
      <c r="A33" s="8" t="inlineStr">
        <is>
          <t>4. Root Cause and CAPA - five-why analysis and action tracking</t>
        </is>
      </c>
    </row>
    <row r="34">
      <c r="A34" s="8" t="inlineStr">
        <is>
          <t>5. Closure Evidence Checklist - what to attach for each category of item</t>
        </is>
      </c>
    </row>
    <row r="35">
      <c r="A35" s="8" t="inlineStr">
        <is>
          <t>6. Authority Matrix - UAE authority reference, editable</t>
        </is>
      </c>
    </row>
    <row r="36">
      <c r="A36" s="8" t="inlineStr">
        <is>
          <t>7. Authority Tracker - NOC, inspection, certificate and clearance status</t>
        </is>
      </c>
    </row>
    <row r="37">
      <c r="A37" s="8" t="inlineStr">
        <is>
          <t>8. KPI Dashboard - assurance metrics with formulas and charts</t>
        </is>
      </c>
    </row>
    <row r="38">
      <c r="A38" s="8" t="inlineStr">
        <is>
          <t>9. RACI - roles and responsibilities</t>
        </is>
      </c>
    </row>
    <row r="39">
      <c r="A39" s="8" t="inlineStr">
        <is>
          <t>10. SOR Form - print ready, loads the project header from this dashboard</t>
        </is>
      </c>
    </row>
    <row r="40">
      <c r="A40" s="8" t="inlineStr">
        <is>
          <t>11. NCR Form - print ready, loads the project header from this dashboard</t>
        </is>
      </c>
    </row>
    <row r="41">
      <c r="A41" s="8" t="inlineStr">
        <is>
          <t>12. Closure Certificate - print ready closure record</t>
        </is>
      </c>
    </row>
    <row r="42">
      <c r="A42" s="8" t="inlineStr">
        <is>
          <t>13. Definitions and References - glossary and source list</t>
        </is>
      </c>
    </row>
    <row r="43">
      <c r="A43" s="8" t="inlineStr">
        <is>
          <t>14. Major NCR Field Aid - one-page close-out aid for major non-conformances</t>
        </is>
      </c>
    </row>
    <row r="44">
      <c r="A44" s="8" t="inlineStr">
        <is>
          <t>15. Major NCR Checklist - contractor QA verification checklist for major items</t>
        </is>
      </c>
    </row>
    <row r="45">
      <c r="A45" s="8" t="inlineStr">
        <is>
          <t>16. Closure Audit Tracker - retrospective audit of previously closed NCRs (protocol PMC-QA-AUD-004)</t>
        </is>
      </c>
    </row>
    <row r="46">
      <c r="A46" s="8" t="inlineStr">
        <is>
          <t>17. Decennial Risk Register - open, unverified and residual-risk items over the ten-year period</t>
        </is>
      </c>
    </row>
    <row r="47">
      <c r="A47" s="8" t="inlineStr">
        <is>
          <t>18. RCA CAPA Tracker - 5 Whys, SMART corrective actions, preventive actions and effectiveness evidence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40" customWidth="1" min="6" max="6"/>
    <col width="26" customWidth="1" min="7" max="7"/>
    <col width="20" customWidth="1" min="8" max="8"/>
    <col width="14" customWidth="1" min="9" max="9"/>
    <col width="16" customWidth="1" min="10" max="10"/>
    <col width="11" customWidth="1" min="11" max="11"/>
    <col width="11" customWidth="1" min="12" max="12"/>
    <col width="11" customWidth="1" min="13" max="13"/>
    <col width="9" customWidth="1" min="14" max="14"/>
    <col width="12" customWidth="1" min="15" max="15"/>
    <col width="20" customWidth="1" min="16" max="16"/>
    <col width="14" customWidth="1" min="17" max="17"/>
    <col width="13" customWidth="1" min="18" max="18"/>
    <col width="12" customWidth="1" min="19" max="19"/>
    <col width="20" customWidth="1" min="20" max="20"/>
  </cols>
  <sheetData>
    <row r="1" ht="24" customHeight="1">
      <c r="A1" s="1" t="inlineStr">
        <is>
          <t>Site Observation Register (SOR)</t>
        </is>
      </c>
    </row>
    <row r="2">
      <c r="A2" s="2" t="inlineStr">
        <is>
          <t>Grey columns calculate automatically. Do not overwrite formulas. Status and discipline use drop-down lists.</t>
        </is>
      </c>
    </row>
    <row r="4" ht="44" customHeight="1">
      <c r="A4" s="9" t="inlineStr">
        <is>
          <t>SOR ID</t>
        </is>
      </c>
      <c r="B4" s="9" t="inlineStr">
        <is>
          <t>Date raised</t>
        </is>
      </c>
      <c r="C4" s="9" t="inlineStr">
        <is>
          <t>Discipline</t>
        </is>
      </c>
      <c r="D4" s="9" t="inlineStr">
        <is>
          <t>Package / area</t>
        </is>
      </c>
      <c r="E4" s="9" t="inlineStr">
        <is>
          <t>Exact location (level, grid, room)</t>
        </is>
      </c>
      <c r="F4" s="9" t="inlineStr">
        <is>
          <t>Observation description</t>
        </is>
      </c>
      <c r="G4" s="9" t="inlineStr">
        <is>
          <t>Requirement reference (spec / drawing rev / ITP / code)</t>
        </is>
      </c>
      <c r="H4" s="9" t="inlineStr">
        <is>
          <t>Evidence reference (photo / measurement)</t>
        </is>
      </c>
      <c r="I4" s="9" t="inlineStr">
        <is>
          <t>Raised by (PMC)</t>
        </is>
      </c>
      <c r="J4" s="9" t="inlineStr">
        <is>
          <t>Responsible party</t>
        </is>
      </c>
      <c r="K4" s="9" t="inlineStr">
        <is>
          <t>Due date</t>
        </is>
      </c>
      <c r="L4" s="9" t="inlineStr">
        <is>
          <t>Status</t>
        </is>
      </c>
      <c r="M4" s="9" t="inlineStr">
        <is>
          <t>Closure date</t>
        </is>
      </c>
      <c r="N4" s="9" t="inlineStr">
        <is>
          <t>Days open</t>
        </is>
      </c>
      <c r="O4" s="9" t="inlineStr">
        <is>
          <t>Overdue flag</t>
        </is>
      </c>
      <c r="P4" s="9" t="inlineStr">
        <is>
          <t>Closure evidence reference</t>
        </is>
      </c>
      <c r="Q4" s="9" t="inlineStr">
        <is>
          <t>Closed / verified by</t>
        </is>
      </c>
      <c r="R4" s="9" t="inlineStr">
        <is>
          <t>Converted to NCR?</t>
        </is>
      </c>
      <c r="S4" s="9" t="inlineStr">
        <is>
          <t>NCR ID</t>
        </is>
      </c>
      <c r="T4" s="9" t="inlineStr">
        <is>
          <t>Remarks</t>
        </is>
      </c>
    </row>
    <row r="5">
      <c r="A5" s="10" t="n"/>
      <c r="B5" s="11" t="n"/>
      <c r="C5" s="12" t="n"/>
      <c r="D5" s="12" t="n"/>
      <c r="E5" s="13" t="n"/>
      <c r="F5" s="13" t="n"/>
      <c r="G5" s="13" t="n"/>
      <c r="H5" s="13" t="n"/>
      <c r="I5" s="12" t="n"/>
      <c r="J5" s="12" t="n"/>
      <c r="K5" s="11" t="n"/>
      <c r="L5" s="12" t="n"/>
      <c r="M5" s="11" t="n"/>
      <c r="N5" s="14">
        <f>IF(A5="","",IF(M5&lt;&gt;"",M5-B5,TODAY()-B5))</f>
        <v/>
      </c>
      <c r="O5" s="14">
        <f>IF(A5="","",IF(AND(M5="",TODAY()&gt;K5),"OVERDUE",IF(AND(M5&lt;&gt;"",M5&gt;K5),"CLOSED LATE","")))</f>
        <v/>
      </c>
      <c r="P5" s="13" t="n"/>
      <c r="Q5" s="12" t="n"/>
      <c r="R5" s="12" t="n"/>
      <c r="S5" s="12" t="n"/>
      <c r="T5" s="13" t="n"/>
    </row>
    <row r="6">
      <c r="A6" s="10" t="n"/>
      <c r="B6" s="11" t="n"/>
      <c r="C6" s="12" t="n"/>
      <c r="D6" s="12" t="n"/>
      <c r="E6" s="13" t="n"/>
      <c r="F6" s="13" t="n"/>
      <c r="G6" s="13" t="n"/>
      <c r="H6" s="13" t="n"/>
      <c r="I6" s="12" t="n"/>
      <c r="J6" s="12" t="n"/>
      <c r="K6" s="11" t="n"/>
      <c r="L6" s="12" t="n"/>
      <c r="M6" s="11" t="n"/>
      <c r="N6" s="14">
        <f>IF(A6="","",IF(M6&lt;&gt;"",M6-B6,TODAY()-B6))</f>
        <v/>
      </c>
      <c r="O6" s="14">
        <f>IF(A6="","",IF(AND(M6="",TODAY()&gt;K6),"OVERDUE",IF(AND(M6&lt;&gt;"",M6&gt;K6),"CLOSED LATE","")))</f>
        <v/>
      </c>
      <c r="P6" s="13" t="n"/>
      <c r="Q6" s="12" t="n"/>
      <c r="R6" s="12" t="n"/>
      <c r="S6" s="12" t="n"/>
      <c r="T6" s="13" t="n"/>
    </row>
    <row r="7">
      <c r="A7" s="10" t="n"/>
      <c r="B7" s="11" t="n"/>
      <c r="C7" s="12" t="n"/>
      <c r="D7" s="12" t="n"/>
      <c r="E7" s="13" t="n"/>
      <c r="F7" s="13" t="n"/>
      <c r="G7" s="13" t="n"/>
      <c r="H7" s="13" t="n"/>
      <c r="I7" s="12" t="n"/>
      <c r="J7" s="12" t="n"/>
      <c r="K7" s="11" t="n"/>
      <c r="L7" s="12" t="n"/>
      <c r="M7" s="11" t="n"/>
      <c r="N7" s="14">
        <f>IF(A7="","",IF(M7&lt;&gt;"",M7-B7,TODAY()-B7))</f>
        <v/>
      </c>
      <c r="O7" s="14">
        <f>IF(A7="","",IF(AND(M7="",TODAY()&gt;K7),"OVERDUE",IF(AND(M7&lt;&gt;"",M7&gt;K7),"CLOSED LATE","")))</f>
        <v/>
      </c>
      <c r="P7" s="13" t="n"/>
      <c r="Q7" s="12" t="n"/>
      <c r="R7" s="12" t="n"/>
      <c r="S7" s="12" t="n"/>
      <c r="T7" s="13" t="n"/>
    </row>
    <row r="8">
      <c r="A8" s="10" t="n"/>
      <c r="B8" s="11" t="n"/>
      <c r="C8" s="12" t="n"/>
      <c r="D8" s="12" t="n"/>
      <c r="E8" s="13" t="n"/>
      <c r="F8" s="13" t="n"/>
      <c r="G8" s="13" t="n"/>
      <c r="H8" s="13" t="n"/>
      <c r="I8" s="12" t="n"/>
      <c r="J8" s="12" t="n"/>
      <c r="K8" s="11" t="n"/>
      <c r="L8" s="12" t="n"/>
      <c r="M8" s="11" t="n"/>
      <c r="N8" s="14">
        <f>IF(A8="","",IF(M8&lt;&gt;"",M8-B8,TODAY()-B8))</f>
        <v/>
      </c>
      <c r="O8" s="14">
        <f>IF(A8="","",IF(AND(M8="",TODAY()&gt;K8),"OVERDUE",IF(AND(M8&lt;&gt;"",M8&gt;K8),"CLOSED LATE","")))</f>
        <v/>
      </c>
      <c r="P8" s="13" t="n"/>
      <c r="Q8" s="12" t="n"/>
      <c r="R8" s="12" t="n"/>
      <c r="S8" s="12" t="n"/>
      <c r="T8" s="13" t="n"/>
    </row>
    <row r="9">
      <c r="A9" s="10" t="n"/>
      <c r="B9" s="11" t="n"/>
      <c r="C9" s="12" t="n"/>
      <c r="D9" s="12" t="n"/>
      <c r="E9" s="13" t="n"/>
      <c r="F9" s="13" t="n"/>
      <c r="G9" s="13" t="n"/>
      <c r="H9" s="13" t="n"/>
      <c r="I9" s="12" t="n"/>
      <c r="J9" s="12" t="n"/>
      <c r="K9" s="11" t="n"/>
      <c r="L9" s="12" t="n"/>
      <c r="M9" s="11" t="n"/>
      <c r="N9" s="14">
        <f>IF(A9="","",IF(M9&lt;&gt;"",M9-B9,TODAY()-B9))</f>
        <v/>
      </c>
      <c r="O9" s="14">
        <f>IF(A9="","",IF(AND(M9="",TODAY()&gt;K9),"OVERDUE",IF(AND(M9&lt;&gt;"",M9&gt;K9),"CLOSED LATE","")))</f>
        <v/>
      </c>
      <c r="P9" s="13" t="n"/>
      <c r="Q9" s="12" t="n"/>
      <c r="R9" s="12" t="n"/>
      <c r="S9" s="12" t="n"/>
      <c r="T9" s="13" t="n"/>
    </row>
    <row r="10">
      <c r="A10" s="10" t="n"/>
      <c r="B10" s="11" t="n"/>
      <c r="C10" s="12" t="n"/>
      <c r="D10" s="12" t="n"/>
      <c r="E10" s="13" t="n"/>
      <c r="F10" s="13" t="n"/>
      <c r="G10" s="13" t="n"/>
      <c r="H10" s="13" t="n"/>
      <c r="I10" s="12" t="n"/>
      <c r="J10" s="12" t="n"/>
      <c r="K10" s="11" t="n"/>
      <c r="L10" s="12" t="n"/>
      <c r="M10" s="11" t="n"/>
      <c r="N10" s="14">
        <f>IF(A10="","",IF(M10&lt;&gt;"",M10-B10,TODAY()-B10))</f>
        <v/>
      </c>
      <c r="O10" s="14">
        <f>IF(A10="","",IF(AND(M10="",TODAY()&gt;K10),"OVERDUE",IF(AND(M10&lt;&gt;"",M10&gt;K10),"CLOSED LATE","")))</f>
        <v/>
      </c>
      <c r="P10" s="13" t="n"/>
      <c r="Q10" s="12" t="n"/>
      <c r="R10" s="12" t="n"/>
      <c r="S10" s="12" t="n"/>
      <c r="T10" s="13" t="n"/>
    </row>
    <row r="11">
      <c r="A11" s="10" t="n"/>
      <c r="B11" s="11" t="n"/>
      <c r="C11" s="12" t="n"/>
      <c r="D11" s="12" t="n"/>
      <c r="E11" s="13" t="n"/>
      <c r="F11" s="13" t="n"/>
      <c r="G11" s="13" t="n"/>
      <c r="H11" s="13" t="n"/>
      <c r="I11" s="12" t="n"/>
      <c r="J11" s="12" t="n"/>
      <c r="K11" s="11" t="n"/>
      <c r="L11" s="12" t="n"/>
      <c r="M11" s="11" t="n"/>
      <c r="N11" s="14">
        <f>IF(A11="","",IF(M11&lt;&gt;"",M11-B11,TODAY()-B11))</f>
        <v/>
      </c>
      <c r="O11" s="14">
        <f>IF(A11="","",IF(AND(M11="",TODAY()&gt;K11),"OVERDUE",IF(AND(M11&lt;&gt;"",M11&gt;K11),"CLOSED LATE","")))</f>
        <v/>
      </c>
      <c r="P11" s="13" t="n"/>
      <c r="Q11" s="12" t="n"/>
      <c r="R11" s="12" t="n"/>
      <c r="S11" s="12" t="n"/>
      <c r="T11" s="13" t="n"/>
    </row>
    <row r="12">
      <c r="A12" s="10" t="n"/>
      <c r="B12" s="11" t="n"/>
      <c r="C12" s="12" t="n"/>
      <c r="D12" s="12" t="n"/>
      <c r="E12" s="13" t="n"/>
      <c r="F12" s="13" t="n"/>
      <c r="G12" s="13" t="n"/>
      <c r="H12" s="13" t="n"/>
      <c r="I12" s="12" t="n"/>
      <c r="J12" s="12" t="n"/>
      <c r="K12" s="11" t="n"/>
      <c r="L12" s="12" t="n"/>
      <c r="M12" s="11" t="n"/>
      <c r="N12" s="14">
        <f>IF(A12="","",IF(M12&lt;&gt;"",M12-B12,TODAY()-B12))</f>
        <v/>
      </c>
      <c r="O12" s="14">
        <f>IF(A12="","",IF(AND(M12="",TODAY()&gt;K12),"OVERDUE",IF(AND(M12&lt;&gt;"",M12&gt;K12),"CLOSED LATE","")))</f>
        <v/>
      </c>
      <c r="P12" s="13" t="n"/>
      <c r="Q12" s="12" t="n"/>
      <c r="R12" s="12" t="n"/>
      <c r="S12" s="12" t="n"/>
      <c r="T12" s="13" t="n"/>
    </row>
    <row r="13">
      <c r="A13" s="10" t="n"/>
      <c r="B13" s="11" t="n"/>
      <c r="C13" s="12" t="n"/>
      <c r="D13" s="12" t="n"/>
      <c r="E13" s="13" t="n"/>
      <c r="F13" s="13" t="n"/>
      <c r="G13" s="13" t="n"/>
      <c r="H13" s="13" t="n"/>
      <c r="I13" s="12" t="n"/>
      <c r="J13" s="12" t="n"/>
      <c r="K13" s="11" t="n"/>
      <c r="L13" s="12" t="n"/>
      <c r="M13" s="11" t="n"/>
      <c r="N13" s="14">
        <f>IF(A13="","",IF(M13&lt;&gt;"",M13-B13,TODAY()-B13))</f>
        <v/>
      </c>
      <c r="O13" s="14">
        <f>IF(A13="","",IF(AND(M13="",TODAY()&gt;K13),"OVERDUE",IF(AND(M13&lt;&gt;"",M13&gt;K13),"CLOSED LATE","")))</f>
        <v/>
      </c>
      <c r="P13" s="13" t="n"/>
      <c r="Q13" s="12" t="n"/>
      <c r="R13" s="12" t="n"/>
      <c r="S13" s="12" t="n"/>
      <c r="T13" s="13" t="n"/>
    </row>
    <row r="14">
      <c r="A14" s="10" t="n"/>
      <c r="B14" s="11" t="n"/>
      <c r="C14" s="12" t="n"/>
      <c r="D14" s="12" t="n"/>
      <c r="E14" s="13" t="n"/>
      <c r="F14" s="13" t="n"/>
      <c r="G14" s="13" t="n"/>
      <c r="H14" s="13" t="n"/>
      <c r="I14" s="12" t="n"/>
      <c r="J14" s="12" t="n"/>
      <c r="K14" s="11" t="n"/>
      <c r="L14" s="12" t="n"/>
      <c r="M14" s="11" t="n"/>
      <c r="N14" s="14">
        <f>IF(A14="","",IF(M14&lt;&gt;"",M14-B14,TODAY()-B14))</f>
        <v/>
      </c>
      <c r="O14" s="14">
        <f>IF(A14="","",IF(AND(M14="",TODAY()&gt;K14),"OVERDUE",IF(AND(M14&lt;&gt;"",M14&gt;K14),"CLOSED LATE","")))</f>
        <v/>
      </c>
      <c r="P14" s="13" t="n"/>
      <c r="Q14" s="12" t="n"/>
      <c r="R14" s="12" t="n"/>
      <c r="S14" s="12" t="n"/>
      <c r="T14" s="13" t="n"/>
    </row>
    <row r="15">
      <c r="A15" s="10" t="n"/>
      <c r="B15" s="11" t="n"/>
      <c r="C15" s="12" t="n"/>
      <c r="D15" s="12" t="n"/>
      <c r="E15" s="13" t="n"/>
      <c r="F15" s="13" t="n"/>
      <c r="G15" s="13" t="n"/>
      <c r="H15" s="13" t="n"/>
      <c r="I15" s="12" t="n"/>
      <c r="J15" s="12" t="n"/>
      <c r="K15" s="11" t="n"/>
      <c r="L15" s="12" t="n"/>
      <c r="M15" s="11" t="n"/>
      <c r="N15" s="14">
        <f>IF(A15="","",IF(M15&lt;&gt;"",M15-B15,TODAY()-B15))</f>
        <v/>
      </c>
      <c r="O15" s="14">
        <f>IF(A15="","",IF(AND(M15="",TODAY()&gt;K15),"OVERDUE",IF(AND(M15&lt;&gt;"",M15&gt;K15),"CLOSED LATE","")))</f>
        <v/>
      </c>
      <c r="P15" s="13" t="n"/>
      <c r="Q15" s="12" t="n"/>
      <c r="R15" s="12" t="n"/>
      <c r="S15" s="12" t="n"/>
      <c r="T15" s="13" t="n"/>
    </row>
    <row r="16">
      <c r="A16" s="10" t="n"/>
      <c r="B16" s="11" t="n"/>
      <c r="C16" s="12" t="n"/>
      <c r="D16" s="12" t="n"/>
      <c r="E16" s="13" t="n"/>
      <c r="F16" s="13" t="n"/>
      <c r="G16" s="13" t="n"/>
      <c r="H16" s="13" t="n"/>
      <c r="I16" s="12" t="n"/>
      <c r="J16" s="12" t="n"/>
      <c r="K16" s="11" t="n"/>
      <c r="L16" s="12" t="n"/>
      <c r="M16" s="11" t="n"/>
      <c r="N16" s="14">
        <f>IF(A16="","",IF(M16&lt;&gt;"",M16-B16,TODAY()-B16))</f>
        <v/>
      </c>
      <c r="O16" s="14">
        <f>IF(A16="","",IF(AND(M16="",TODAY()&gt;K16),"OVERDUE",IF(AND(M16&lt;&gt;"",M16&gt;K16),"CLOSED LATE","")))</f>
        <v/>
      </c>
      <c r="P16" s="13" t="n"/>
      <c r="Q16" s="12" t="n"/>
      <c r="R16" s="12" t="n"/>
      <c r="S16" s="12" t="n"/>
      <c r="T16" s="13" t="n"/>
    </row>
    <row r="17">
      <c r="A17" s="10" t="n"/>
      <c r="B17" s="11" t="n"/>
      <c r="C17" s="12" t="n"/>
      <c r="D17" s="12" t="n"/>
      <c r="E17" s="13" t="n"/>
      <c r="F17" s="13" t="n"/>
      <c r="G17" s="13" t="n"/>
      <c r="H17" s="13" t="n"/>
      <c r="I17" s="12" t="n"/>
      <c r="J17" s="12" t="n"/>
      <c r="K17" s="11" t="n"/>
      <c r="L17" s="12" t="n"/>
      <c r="M17" s="11" t="n"/>
      <c r="N17" s="14">
        <f>IF(A17="","",IF(M17&lt;&gt;"",M17-B17,TODAY()-B17))</f>
        <v/>
      </c>
      <c r="O17" s="14">
        <f>IF(A17="","",IF(AND(M17="",TODAY()&gt;K17),"OVERDUE",IF(AND(M17&lt;&gt;"",M17&gt;K17),"CLOSED LATE","")))</f>
        <v/>
      </c>
      <c r="P17" s="13" t="n"/>
      <c r="Q17" s="12" t="n"/>
      <c r="R17" s="12" t="n"/>
      <c r="S17" s="12" t="n"/>
      <c r="T17" s="13" t="n"/>
    </row>
    <row r="18">
      <c r="A18" s="10" t="n"/>
      <c r="B18" s="11" t="n"/>
      <c r="C18" s="12" t="n"/>
      <c r="D18" s="12" t="n"/>
      <c r="E18" s="13" t="n"/>
      <c r="F18" s="13" t="n"/>
      <c r="G18" s="13" t="n"/>
      <c r="H18" s="13" t="n"/>
      <c r="I18" s="12" t="n"/>
      <c r="J18" s="12" t="n"/>
      <c r="K18" s="11" t="n"/>
      <c r="L18" s="12" t="n"/>
      <c r="M18" s="11" t="n"/>
      <c r="N18" s="14">
        <f>IF(A18="","",IF(M18&lt;&gt;"",M18-B18,TODAY()-B18))</f>
        <v/>
      </c>
      <c r="O18" s="14">
        <f>IF(A18="","",IF(AND(M18="",TODAY()&gt;K18),"OVERDUE",IF(AND(M18&lt;&gt;"",M18&gt;K18),"CLOSED LATE","")))</f>
        <v/>
      </c>
      <c r="P18" s="13" t="n"/>
      <c r="Q18" s="12" t="n"/>
      <c r="R18" s="12" t="n"/>
      <c r="S18" s="12" t="n"/>
      <c r="T18" s="13" t="n"/>
    </row>
    <row r="19">
      <c r="A19" s="10" t="n"/>
      <c r="B19" s="11" t="n"/>
      <c r="C19" s="12" t="n"/>
      <c r="D19" s="12" t="n"/>
      <c r="E19" s="13" t="n"/>
      <c r="F19" s="13" t="n"/>
      <c r="G19" s="13" t="n"/>
      <c r="H19" s="13" t="n"/>
      <c r="I19" s="12" t="n"/>
      <c r="J19" s="12" t="n"/>
      <c r="K19" s="11" t="n"/>
      <c r="L19" s="12" t="n"/>
      <c r="M19" s="11" t="n"/>
      <c r="N19" s="14">
        <f>IF(A19="","",IF(M19&lt;&gt;"",M19-B19,TODAY()-B19))</f>
        <v/>
      </c>
      <c r="O19" s="14">
        <f>IF(A19="","",IF(AND(M19="",TODAY()&gt;K19),"OVERDUE",IF(AND(M19&lt;&gt;"",M19&gt;K19),"CLOSED LATE","")))</f>
        <v/>
      </c>
      <c r="P19" s="13" t="n"/>
      <c r="Q19" s="12" t="n"/>
      <c r="R19" s="12" t="n"/>
      <c r="S19" s="12" t="n"/>
      <c r="T19" s="13" t="n"/>
    </row>
    <row r="20">
      <c r="A20" s="10" t="n"/>
      <c r="B20" s="11" t="n"/>
      <c r="C20" s="12" t="n"/>
      <c r="D20" s="12" t="n"/>
      <c r="E20" s="13" t="n"/>
      <c r="F20" s="13" t="n"/>
      <c r="G20" s="13" t="n"/>
      <c r="H20" s="13" t="n"/>
      <c r="I20" s="12" t="n"/>
      <c r="J20" s="12" t="n"/>
      <c r="K20" s="11" t="n"/>
      <c r="L20" s="12" t="n"/>
      <c r="M20" s="11" t="n"/>
      <c r="N20" s="14">
        <f>IF(A20="","",IF(M20&lt;&gt;"",M20-B20,TODAY()-B20))</f>
        <v/>
      </c>
      <c r="O20" s="14">
        <f>IF(A20="","",IF(AND(M20="",TODAY()&gt;K20),"OVERDUE",IF(AND(M20&lt;&gt;"",M20&gt;K20),"CLOSED LATE","")))</f>
        <v/>
      </c>
      <c r="P20" s="13" t="n"/>
      <c r="Q20" s="12" t="n"/>
      <c r="R20" s="12" t="n"/>
      <c r="S20" s="12" t="n"/>
      <c r="T20" s="13" t="n"/>
    </row>
    <row r="21">
      <c r="A21" s="10" t="n"/>
      <c r="B21" s="11" t="n"/>
      <c r="C21" s="12" t="n"/>
      <c r="D21" s="12" t="n"/>
      <c r="E21" s="13" t="n"/>
      <c r="F21" s="13" t="n"/>
      <c r="G21" s="13" t="n"/>
      <c r="H21" s="13" t="n"/>
      <c r="I21" s="12" t="n"/>
      <c r="J21" s="12" t="n"/>
      <c r="K21" s="11" t="n"/>
      <c r="L21" s="12" t="n"/>
      <c r="M21" s="11" t="n"/>
      <c r="N21" s="14">
        <f>IF(A21="","",IF(M21&lt;&gt;"",M21-B21,TODAY()-B21))</f>
        <v/>
      </c>
      <c r="O21" s="14">
        <f>IF(A21="","",IF(AND(M21="",TODAY()&gt;K21),"OVERDUE",IF(AND(M21&lt;&gt;"",M21&gt;K21),"CLOSED LATE","")))</f>
        <v/>
      </c>
      <c r="P21" s="13" t="n"/>
      <c r="Q21" s="12" t="n"/>
      <c r="R21" s="12" t="n"/>
      <c r="S21" s="12" t="n"/>
      <c r="T21" s="13" t="n"/>
    </row>
    <row r="22">
      <c r="A22" s="10" t="n"/>
      <c r="B22" s="11" t="n"/>
      <c r="C22" s="12" t="n"/>
      <c r="D22" s="12" t="n"/>
      <c r="E22" s="13" t="n"/>
      <c r="F22" s="13" t="n"/>
      <c r="G22" s="13" t="n"/>
      <c r="H22" s="13" t="n"/>
      <c r="I22" s="12" t="n"/>
      <c r="J22" s="12" t="n"/>
      <c r="K22" s="11" t="n"/>
      <c r="L22" s="12" t="n"/>
      <c r="M22" s="11" t="n"/>
      <c r="N22" s="14">
        <f>IF(A22="","",IF(M22&lt;&gt;"",M22-B22,TODAY()-B22))</f>
        <v/>
      </c>
      <c r="O22" s="14">
        <f>IF(A22="","",IF(AND(M22="",TODAY()&gt;K22),"OVERDUE",IF(AND(M22&lt;&gt;"",M22&gt;K22),"CLOSED LATE","")))</f>
        <v/>
      </c>
      <c r="P22" s="13" t="n"/>
      <c r="Q22" s="12" t="n"/>
      <c r="R22" s="12" t="n"/>
      <c r="S22" s="12" t="n"/>
      <c r="T22" s="13" t="n"/>
    </row>
    <row r="23">
      <c r="A23" s="10" t="n"/>
      <c r="B23" s="11" t="n"/>
      <c r="C23" s="12" t="n"/>
      <c r="D23" s="12" t="n"/>
      <c r="E23" s="13" t="n"/>
      <c r="F23" s="13" t="n"/>
      <c r="G23" s="13" t="n"/>
      <c r="H23" s="13" t="n"/>
      <c r="I23" s="12" t="n"/>
      <c r="J23" s="12" t="n"/>
      <c r="K23" s="11" t="n"/>
      <c r="L23" s="12" t="n"/>
      <c r="M23" s="11" t="n"/>
      <c r="N23" s="14">
        <f>IF(A23="","",IF(M23&lt;&gt;"",M23-B23,TODAY()-B23))</f>
        <v/>
      </c>
      <c r="O23" s="14">
        <f>IF(A23="","",IF(AND(M23="",TODAY()&gt;K23),"OVERDUE",IF(AND(M23&lt;&gt;"",M23&gt;K23),"CLOSED LATE","")))</f>
        <v/>
      </c>
      <c r="P23" s="13" t="n"/>
      <c r="Q23" s="12" t="n"/>
      <c r="R23" s="12" t="n"/>
      <c r="S23" s="12" t="n"/>
      <c r="T23" s="13" t="n"/>
    </row>
    <row r="24">
      <c r="A24" s="10" t="n"/>
      <c r="B24" s="11" t="n"/>
      <c r="C24" s="12" t="n"/>
      <c r="D24" s="12" t="n"/>
      <c r="E24" s="13" t="n"/>
      <c r="F24" s="13" t="n"/>
      <c r="G24" s="13" t="n"/>
      <c r="H24" s="13" t="n"/>
      <c r="I24" s="12" t="n"/>
      <c r="J24" s="12" t="n"/>
      <c r="K24" s="11" t="n"/>
      <c r="L24" s="12" t="n"/>
      <c r="M24" s="11" t="n"/>
      <c r="N24" s="14">
        <f>IF(A24="","",IF(M24&lt;&gt;"",M24-B24,TODAY()-B24))</f>
        <v/>
      </c>
      <c r="O24" s="14">
        <f>IF(A24="","",IF(AND(M24="",TODAY()&gt;K24),"OVERDUE",IF(AND(M24&lt;&gt;"",M24&gt;K24),"CLOSED LATE","")))</f>
        <v/>
      </c>
      <c r="P24" s="13" t="n"/>
      <c r="Q24" s="12" t="n"/>
      <c r="R24" s="12" t="n"/>
      <c r="S24" s="12" t="n"/>
      <c r="T24" s="13" t="n"/>
    </row>
    <row r="25">
      <c r="A25" s="10" t="n"/>
      <c r="B25" s="11" t="n"/>
      <c r="C25" s="12" t="n"/>
      <c r="D25" s="12" t="n"/>
      <c r="E25" s="13" t="n"/>
      <c r="F25" s="13" t="n"/>
      <c r="G25" s="13" t="n"/>
      <c r="H25" s="13" t="n"/>
      <c r="I25" s="12" t="n"/>
      <c r="J25" s="12" t="n"/>
      <c r="K25" s="11" t="n"/>
      <c r="L25" s="12" t="n"/>
      <c r="M25" s="11" t="n"/>
      <c r="N25" s="14">
        <f>IF(A25="","",IF(M25&lt;&gt;"",M25-B25,TODAY()-B25))</f>
        <v/>
      </c>
      <c r="O25" s="14">
        <f>IF(A25="","",IF(AND(M25="",TODAY()&gt;K25),"OVERDUE",IF(AND(M25&lt;&gt;"",M25&gt;K25),"CLOSED LATE","")))</f>
        <v/>
      </c>
      <c r="P25" s="13" t="n"/>
      <c r="Q25" s="12" t="n"/>
      <c r="R25" s="12" t="n"/>
      <c r="S25" s="12" t="n"/>
      <c r="T25" s="13" t="n"/>
    </row>
    <row r="26">
      <c r="A26" s="10" t="n"/>
      <c r="B26" s="11" t="n"/>
      <c r="C26" s="12" t="n"/>
      <c r="D26" s="12" t="n"/>
      <c r="E26" s="13" t="n"/>
      <c r="F26" s="13" t="n"/>
      <c r="G26" s="13" t="n"/>
      <c r="H26" s="13" t="n"/>
      <c r="I26" s="12" t="n"/>
      <c r="J26" s="12" t="n"/>
      <c r="K26" s="11" t="n"/>
      <c r="L26" s="12" t="n"/>
      <c r="M26" s="11" t="n"/>
      <c r="N26" s="14">
        <f>IF(A26="","",IF(M26&lt;&gt;"",M26-B26,TODAY()-B26))</f>
        <v/>
      </c>
      <c r="O26" s="14">
        <f>IF(A26="","",IF(AND(M26="",TODAY()&gt;K26),"OVERDUE",IF(AND(M26&lt;&gt;"",M26&gt;K26),"CLOSED LATE","")))</f>
        <v/>
      </c>
      <c r="P26" s="13" t="n"/>
      <c r="Q26" s="12" t="n"/>
      <c r="R26" s="12" t="n"/>
      <c r="S26" s="12" t="n"/>
      <c r="T26" s="13" t="n"/>
    </row>
    <row r="27">
      <c r="A27" s="10" t="n"/>
      <c r="B27" s="11" t="n"/>
      <c r="C27" s="12" t="n"/>
      <c r="D27" s="12" t="n"/>
      <c r="E27" s="13" t="n"/>
      <c r="F27" s="13" t="n"/>
      <c r="G27" s="13" t="n"/>
      <c r="H27" s="13" t="n"/>
      <c r="I27" s="12" t="n"/>
      <c r="J27" s="12" t="n"/>
      <c r="K27" s="11" t="n"/>
      <c r="L27" s="12" t="n"/>
      <c r="M27" s="11" t="n"/>
      <c r="N27" s="14">
        <f>IF(A27="","",IF(M27&lt;&gt;"",M27-B27,TODAY()-B27))</f>
        <v/>
      </c>
      <c r="O27" s="14">
        <f>IF(A27="","",IF(AND(M27="",TODAY()&gt;K27),"OVERDUE",IF(AND(M27&lt;&gt;"",M27&gt;K27),"CLOSED LATE","")))</f>
        <v/>
      </c>
      <c r="P27" s="13" t="n"/>
      <c r="Q27" s="12" t="n"/>
      <c r="R27" s="12" t="n"/>
      <c r="S27" s="12" t="n"/>
      <c r="T27" s="13" t="n"/>
    </row>
    <row r="28">
      <c r="A28" s="10" t="n"/>
      <c r="B28" s="11" t="n"/>
      <c r="C28" s="12" t="n"/>
      <c r="D28" s="12" t="n"/>
      <c r="E28" s="13" t="n"/>
      <c r="F28" s="13" t="n"/>
      <c r="G28" s="13" t="n"/>
      <c r="H28" s="13" t="n"/>
      <c r="I28" s="12" t="n"/>
      <c r="J28" s="12" t="n"/>
      <c r="K28" s="11" t="n"/>
      <c r="L28" s="12" t="n"/>
      <c r="M28" s="11" t="n"/>
      <c r="N28" s="14">
        <f>IF(A28="","",IF(M28&lt;&gt;"",M28-B28,TODAY()-B28))</f>
        <v/>
      </c>
      <c r="O28" s="14">
        <f>IF(A28="","",IF(AND(M28="",TODAY()&gt;K28),"OVERDUE",IF(AND(M28&lt;&gt;"",M28&gt;K28),"CLOSED LATE","")))</f>
        <v/>
      </c>
      <c r="P28" s="13" t="n"/>
      <c r="Q28" s="12" t="n"/>
      <c r="R28" s="12" t="n"/>
      <c r="S28" s="12" t="n"/>
      <c r="T28" s="13" t="n"/>
    </row>
    <row r="29">
      <c r="A29" s="10" t="n"/>
      <c r="B29" s="11" t="n"/>
      <c r="C29" s="12" t="n"/>
      <c r="D29" s="12" t="n"/>
      <c r="E29" s="13" t="n"/>
      <c r="F29" s="13" t="n"/>
      <c r="G29" s="13" t="n"/>
      <c r="H29" s="13" t="n"/>
      <c r="I29" s="12" t="n"/>
      <c r="J29" s="12" t="n"/>
      <c r="K29" s="11" t="n"/>
      <c r="L29" s="12" t="n"/>
      <c r="M29" s="11" t="n"/>
      <c r="N29" s="14">
        <f>IF(A29="","",IF(M29&lt;&gt;"",M29-B29,TODAY()-B29))</f>
        <v/>
      </c>
      <c r="O29" s="14">
        <f>IF(A29="","",IF(AND(M29="",TODAY()&gt;K29),"OVERDUE",IF(AND(M29&lt;&gt;"",M29&gt;K29),"CLOSED LATE","")))</f>
        <v/>
      </c>
      <c r="P29" s="13" t="n"/>
      <c r="Q29" s="12" t="n"/>
      <c r="R29" s="12" t="n"/>
      <c r="S29" s="12" t="n"/>
      <c r="T29" s="13" t="n"/>
    </row>
    <row r="30">
      <c r="A30" s="10" t="n"/>
      <c r="B30" s="11" t="n"/>
      <c r="C30" s="12" t="n"/>
      <c r="D30" s="12" t="n"/>
      <c r="E30" s="13" t="n"/>
      <c r="F30" s="13" t="n"/>
      <c r="G30" s="13" t="n"/>
      <c r="H30" s="13" t="n"/>
      <c r="I30" s="12" t="n"/>
      <c r="J30" s="12" t="n"/>
      <c r="K30" s="11" t="n"/>
      <c r="L30" s="12" t="n"/>
      <c r="M30" s="11" t="n"/>
      <c r="N30" s="14">
        <f>IF(A30="","",IF(M30&lt;&gt;"",M30-B30,TODAY()-B30))</f>
        <v/>
      </c>
      <c r="O30" s="14">
        <f>IF(A30="","",IF(AND(M30="",TODAY()&gt;K30),"OVERDUE",IF(AND(M30&lt;&gt;"",M30&gt;K30),"CLOSED LATE","")))</f>
        <v/>
      </c>
      <c r="P30" s="13" t="n"/>
      <c r="Q30" s="12" t="n"/>
      <c r="R30" s="12" t="n"/>
      <c r="S30" s="12" t="n"/>
      <c r="T30" s="13" t="n"/>
    </row>
    <row r="31">
      <c r="A31" s="10" t="n"/>
      <c r="B31" s="11" t="n"/>
      <c r="C31" s="12" t="n"/>
      <c r="D31" s="12" t="n"/>
      <c r="E31" s="13" t="n"/>
      <c r="F31" s="13" t="n"/>
      <c r="G31" s="13" t="n"/>
      <c r="H31" s="13" t="n"/>
      <c r="I31" s="12" t="n"/>
      <c r="J31" s="12" t="n"/>
      <c r="K31" s="11" t="n"/>
      <c r="L31" s="12" t="n"/>
      <c r="M31" s="11" t="n"/>
      <c r="N31" s="14">
        <f>IF(A31="","",IF(M31&lt;&gt;"",M31-B31,TODAY()-B31))</f>
        <v/>
      </c>
      <c r="O31" s="14">
        <f>IF(A31="","",IF(AND(M31="",TODAY()&gt;K31),"OVERDUE",IF(AND(M31&lt;&gt;"",M31&gt;K31),"CLOSED LATE","")))</f>
        <v/>
      </c>
      <c r="P31" s="13" t="n"/>
      <c r="Q31" s="12" t="n"/>
      <c r="R31" s="12" t="n"/>
      <c r="S31" s="12" t="n"/>
      <c r="T31" s="13" t="n"/>
    </row>
    <row r="32">
      <c r="A32" s="10" t="n"/>
      <c r="B32" s="11" t="n"/>
      <c r="C32" s="12" t="n"/>
      <c r="D32" s="12" t="n"/>
      <c r="E32" s="13" t="n"/>
      <c r="F32" s="13" t="n"/>
      <c r="G32" s="13" t="n"/>
      <c r="H32" s="13" t="n"/>
      <c r="I32" s="12" t="n"/>
      <c r="J32" s="12" t="n"/>
      <c r="K32" s="11" t="n"/>
      <c r="L32" s="12" t="n"/>
      <c r="M32" s="11" t="n"/>
      <c r="N32" s="14">
        <f>IF(A32="","",IF(M32&lt;&gt;"",M32-B32,TODAY()-B32))</f>
        <v/>
      </c>
      <c r="O32" s="14">
        <f>IF(A32="","",IF(AND(M32="",TODAY()&gt;K32),"OVERDUE",IF(AND(M32&lt;&gt;"",M32&gt;K32),"CLOSED LATE","")))</f>
        <v/>
      </c>
      <c r="P32" s="13" t="n"/>
      <c r="Q32" s="12" t="n"/>
      <c r="R32" s="12" t="n"/>
      <c r="S32" s="12" t="n"/>
      <c r="T32" s="13" t="n"/>
    </row>
    <row r="33">
      <c r="A33" s="10" t="n"/>
      <c r="B33" s="11" t="n"/>
      <c r="C33" s="12" t="n"/>
      <c r="D33" s="12" t="n"/>
      <c r="E33" s="13" t="n"/>
      <c r="F33" s="13" t="n"/>
      <c r="G33" s="13" t="n"/>
      <c r="H33" s="13" t="n"/>
      <c r="I33" s="12" t="n"/>
      <c r="J33" s="12" t="n"/>
      <c r="K33" s="11" t="n"/>
      <c r="L33" s="12" t="n"/>
      <c r="M33" s="11" t="n"/>
      <c r="N33" s="14">
        <f>IF(A33="","",IF(M33&lt;&gt;"",M33-B33,TODAY()-B33))</f>
        <v/>
      </c>
      <c r="O33" s="14">
        <f>IF(A33="","",IF(AND(M33="",TODAY()&gt;K33),"OVERDUE",IF(AND(M33&lt;&gt;"",M33&gt;K33),"CLOSED LATE","")))</f>
        <v/>
      </c>
      <c r="P33" s="13" t="n"/>
      <c r="Q33" s="12" t="n"/>
      <c r="R33" s="12" t="n"/>
      <c r="S33" s="12" t="n"/>
      <c r="T33" s="13" t="n"/>
    </row>
    <row r="34">
      <c r="A34" s="10" t="n"/>
      <c r="B34" s="11" t="n"/>
      <c r="C34" s="12" t="n"/>
      <c r="D34" s="12" t="n"/>
      <c r="E34" s="13" t="n"/>
      <c r="F34" s="13" t="n"/>
      <c r="G34" s="13" t="n"/>
      <c r="H34" s="13" t="n"/>
      <c r="I34" s="12" t="n"/>
      <c r="J34" s="12" t="n"/>
      <c r="K34" s="11" t="n"/>
      <c r="L34" s="12" t="n"/>
      <c r="M34" s="11" t="n"/>
      <c r="N34" s="14">
        <f>IF(A34="","",IF(M34&lt;&gt;"",M34-B34,TODAY()-B34))</f>
        <v/>
      </c>
      <c r="O34" s="14">
        <f>IF(A34="","",IF(AND(M34="",TODAY()&gt;K34),"OVERDUE",IF(AND(M34&lt;&gt;"",M34&gt;K34),"CLOSED LATE","")))</f>
        <v/>
      </c>
      <c r="P34" s="13" t="n"/>
      <c r="Q34" s="12" t="n"/>
      <c r="R34" s="12" t="n"/>
      <c r="S34" s="12" t="n"/>
      <c r="T34" s="13" t="n"/>
    </row>
    <row r="35">
      <c r="A35" s="10" t="n"/>
      <c r="B35" s="11" t="n"/>
      <c r="C35" s="12" t="n"/>
      <c r="D35" s="12" t="n"/>
      <c r="E35" s="13" t="n"/>
      <c r="F35" s="13" t="n"/>
      <c r="G35" s="13" t="n"/>
      <c r="H35" s="13" t="n"/>
      <c r="I35" s="12" t="n"/>
      <c r="J35" s="12" t="n"/>
      <c r="K35" s="11" t="n"/>
      <c r="L35" s="12" t="n"/>
      <c r="M35" s="11" t="n"/>
      <c r="N35" s="14">
        <f>IF(A35="","",IF(M35&lt;&gt;"",M35-B35,TODAY()-B35))</f>
        <v/>
      </c>
      <c r="O35" s="14">
        <f>IF(A35="","",IF(AND(M35="",TODAY()&gt;K35),"OVERDUE",IF(AND(M35&lt;&gt;"",M35&gt;K35),"CLOSED LATE","")))</f>
        <v/>
      </c>
      <c r="P35" s="13" t="n"/>
      <c r="Q35" s="12" t="n"/>
      <c r="R35" s="12" t="n"/>
      <c r="S35" s="12" t="n"/>
      <c r="T35" s="13" t="n"/>
    </row>
    <row r="36">
      <c r="A36" s="10" t="n"/>
      <c r="B36" s="11" t="n"/>
      <c r="C36" s="12" t="n"/>
      <c r="D36" s="12" t="n"/>
      <c r="E36" s="13" t="n"/>
      <c r="F36" s="13" t="n"/>
      <c r="G36" s="13" t="n"/>
      <c r="H36" s="13" t="n"/>
      <c r="I36" s="12" t="n"/>
      <c r="J36" s="12" t="n"/>
      <c r="K36" s="11" t="n"/>
      <c r="L36" s="12" t="n"/>
      <c r="M36" s="11" t="n"/>
      <c r="N36" s="14">
        <f>IF(A36="","",IF(M36&lt;&gt;"",M36-B36,TODAY()-B36))</f>
        <v/>
      </c>
      <c r="O36" s="14">
        <f>IF(A36="","",IF(AND(M36="",TODAY()&gt;K36),"OVERDUE",IF(AND(M36&lt;&gt;"",M36&gt;K36),"CLOSED LATE","")))</f>
        <v/>
      </c>
      <c r="P36" s="13" t="n"/>
      <c r="Q36" s="12" t="n"/>
      <c r="R36" s="12" t="n"/>
      <c r="S36" s="12" t="n"/>
      <c r="T36" s="13" t="n"/>
    </row>
    <row r="37">
      <c r="A37" s="10" t="n"/>
      <c r="B37" s="11" t="n"/>
      <c r="C37" s="12" t="n"/>
      <c r="D37" s="12" t="n"/>
      <c r="E37" s="13" t="n"/>
      <c r="F37" s="13" t="n"/>
      <c r="G37" s="13" t="n"/>
      <c r="H37" s="13" t="n"/>
      <c r="I37" s="12" t="n"/>
      <c r="J37" s="12" t="n"/>
      <c r="K37" s="11" t="n"/>
      <c r="L37" s="12" t="n"/>
      <c r="M37" s="11" t="n"/>
      <c r="N37" s="14">
        <f>IF(A37="","",IF(M37&lt;&gt;"",M37-B37,TODAY()-B37))</f>
        <v/>
      </c>
      <c r="O37" s="14">
        <f>IF(A37="","",IF(AND(M37="",TODAY()&gt;K37),"OVERDUE",IF(AND(M37&lt;&gt;"",M37&gt;K37),"CLOSED LATE","")))</f>
        <v/>
      </c>
      <c r="P37" s="13" t="n"/>
      <c r="Q37" s="12" t="n"/>
      <c r="R37" s="12" t="n"/>
      <c r="S37" s="12" t="n"/>
      <c r="T37" s="13" t="n"/>
    </row>
    <row r="38">
      <c r="A38" s="10" t="n"/>
      <c r="B38" s="11" t="n"/>
      <c r="C38" s="12" t="n"/>
      <c r="D38" s="12" t="n"/>
      <c r="E38" s="13" t="n"/>
      <c r="F38" s="13" t="n"/>
      <c r="G38" s="13" t="n"/>
      <c r="H38" s="13" t="n"/>
      <c r="I38" s="12" t="n"/>
      <c r="J38" s="12" t="n"/>
      <c r="K38" s="11" t="n"/>
      <c r="L38" s="12" t="n"/>
      <c r="M38" s="11" t="n"/>
      <c r="N38" s="14">
        <f>IF(A38="","",IF(M38&lt;&gt;"",M38-B38,TODAY()-B38))</f>
        <v/>
      </c>
      <c r="O38" s="14">
        <f>IF(A38="","",IF(AND(M38="",TODAY()&gt;K38),"OVERDUE",IF(AND(M38&lt;&gt;"",M38&gt;K38),"CLOSED LATE","")))</f>
        <v/>
      </c>
      <c r="P38" s="13" t="n"/>
      <c r="Q38" s="12" t="n"/>
      <c r="R38" s="12" t="n"/>
      <c r="S38" s="12" t="n"/>
      <c r="T38" s="13" t="n"/>
    </row>
    <row r="39">
      <c r="A39" s="10" t="n"/>
      <c r="B39" s="11" t="n"/>
      <c r="C39" s="12" t="n"/>
      <c r="D39" s="12" t="n"/>
      <c r="E39" s="13" t="n"/>
      <c r="F39" s="13" t="n"/>
      <c r="G39" s="13" t="n"/>
      <c r="H39" s="13" t="n"/>
      <c r="I39" s="12" t="n"/>
      <c r="J39" s="12" t="n"/>
      <c r="K39" s="11" t="n"/>
      <c r="L39" s="12" t="n"/>
      <c r="M39" s="11" t="n"/>
      <c r="N39" s="14">
        <f>IF(A39="","",IF(M39&lt;&gt;"",M39-B39,TODAY()-B39))</f>
        <v/>
      </c>
      <c r="O39" s="14">
        <f>IF(A39="","",IF(AND(M39="",TODAY()&gt;K39),"OVERDUE",IF(AND(M39&lt;&gt;"",M39&gt;K39),"CLOSED LATE","")))</f>
        <v/>
      </c>
      <c r="P39" s="13" t="n"/>
      <c r="Q39" s="12" t="n"/>
      <c r="R39" s="12" t="n"/>
      <c r="S39" s="12" t="n"/>
      <c r="T39" s="13" t="n"/>
    </row>
    <row r="40">
      <c r="A40" s="10" t="n"/>
      <c r="B40" s="11" t="n"/>
      <c r="C40" s="12" t="n"/>
      <c r="D40" s="12" t="n"/>
      <c r="E40" s="13" t="n"/>
      <c r="F40" s="13" t="n"/>
      <c r="G40" s="13" t="n"/>
      <c r="H40" s="13" t="n"/>
      <c r="I40" s="12" t="n"/>
      <c r="J40" s="12" t="n"/>
      <c r="K40" s="11" t="n"/>
      <c r="L40" s="12" t="n"/>
      <c r="M40" s="11" t="n"/>
      <c r="N40" s="14">
        <f>IF(A40="","",IF(M40&lt;&gt;"",M40-B40,TODAY()-B40))</f>
        <v/>
      </c>
      <c r="O40" s="14">
        <f>IF(A40="","",IF(AND(M40="",TODAY()&gt;K40),"OVERDUE",IF(AND(M40&lt;&gt;"",M40&gt;K40),"CLOSED LATE","")))</f>
        <v/>
      </c>
      <c r="P40" s="13" t="n"/>
      <c r="Q40" s="12" t="n"/>
      <c r="R40" s="12" t="n"/>
      <c r="S40" s="12" t="n"/>
      <c r="T40" s="13" t="n"/>
    </row>
    <row r="41">
      <c r="A41" s="10" t="n"/>
      <c r="B41" s="11" t="n"/>
      <c r="C41" s="12" t="n"/>
      <c r="D41" s="12" t="n"/>
      <c r="E41" s="13" t="n"/>
      <c r="F41" s="13" t="n"/>
      <c r="G41" s="13" t="n"/>
      <c r="H41" s="13" t="n"/>
      <c r="I41" s="12" t="n"/>
      <c r="J41" s="12" t="n"/>
      <c r="K41" s="11" t="n"/>
      <c r="L41" s="12" t="n"/>
      <c r="M41" s="11" t="n"/>
      <c r="N41" s="14">
        <f>IF(A41="","",IF(M41&lt;&gt;"",M41-B41,TODAY()-B41))</f>
        <v/>
      </c>
      <c r="O41" s="14">
        <f>IF(A41="","",IF(AND(M41="",TODAY()&gt;K41),"OVERDUE",IF(AND(M41&lt;&gt;"",M41&gt;K41),"CLOSED LATE","")))</f>
        <v/>
      </c>
      <c r="P41" s="13" t="n"/>
      <c r="Q41" s="12" t="n"/>
      <c r="R41" s="12" t="n"/>
      <c r="S41" s="12" t="n"/>
      <c r="T41" s="13" t="n"/>
    </row>
    <row r="42">
      <c r="A42" s="10" t="n"/>
      <c r="B42" s="11" t="n"/>
      <c r="C42" s="12" t="n"/>
      <c r="D42" s="12" t="n"/>
      <c r="E42" s="13" t="n"/>
      <c r="F42" s="13" t="n"/>
      <c r="G42" s="13" t="n"/>
      <c r="H42" s="13" t="n"/>
      <c r="I42" s="12" t="n"/>
      <c r="J42" s="12" t="n"/>
      <c r="K42" s="11" t="n"/>
      <c r="L42" s="12" t="n"/>
      <c r="M42" s="11" t="n"/>
      <c r="N42" s="14">
        <f>IF(A42="","",IF(M42&lt;&gt;"",M42-B42,TODAY()-B42))</f>
        <v/>
      </c>
      <c r="O42" s="14">
        <f>IF(A42="","",IF(AND(M42="",TODAY()&gt;K42),"OVERDUE",IF(AND(M42&lt;&gt;"",M42&gt;K42),"CLOSED LATE","")))</f>
        <v/>
      </c>
      <c r="P42" s="13" t="n"/>
      <c r="Q42" s="12" t="n"/>
      <c r="R42" s="12" t="n"/>
      <c r="S42" s="12" t="n"/>
      <c r="T42" s="13" t="n"/>
    </row>
    <row r="43">
      <c r="A43" s="10" t="n"/>
      <c r="B43" s="11" t="n"/>
      <c r="C43" s="12" t="n"/>
      <c r="D43" s="12" t="n"/>
      <c r="E43" s="13" t="n"/>
      <c r="F43" s="13" t="n"/>
      <c r="G43" s="13" t="n"/>
      <c r="H43" s="13" t="n"/>
      <c r="I43" s="12" t="n"/>
      <c r="J43" s="12" t="n"/>
      <c r="K43" s="11" t="n"/>
      <c r="L43" s="12" t="n"/>
      <c r="M43" s="11" t="n"/>
      <c r="N43" s="14">
        <f>IF(A43="","",IF(M43&lt;&gt;"",M43-B43,TODAY()-B43))</f>
        <v/>
      </c>
      <c r="O43" s="14">
        <f>IF(A43="","",IF(AND(M43="",TODAY()&gt;K43),"OVERDUE",IF(AND(M43&lt;&gt;"",M43&gt;K43),"CLOSED LATE","")))</f>
        <v/>
      </c>
      <c r="P43" s="13" t="n"/>
      <c r="Q43" s="12" t="n"/>
      <c r="R43" s="12" t="n"/>
      <c r="S43" s="12" t="n"/>
      <c r="T43" s="13" t="n"/>
    </row>
    <row r="44">
      <c r="A44" s="10" t="n"/>
      <c r="B44" s="11" t="n"/>
      <c r="C44" s="12" t="n"/>
      <c r="D44" s="12" t="n"/>
      <c r="E44" s="13" t="n"/>
      <c r="F44" s="13" t="n"/>
      <c r="G44" s="13" t="n"/>
      <c r="H44" s="13" t="n"/>
      <c r="I44" s="12" t="n"/>
      <c r="J44" s="12" t="n"/>
      <c r="K44" s="11" t="n"/>
      <c r="L44" s="12" t="n"/>
      <c r="M44" s="11" t="n"/>
      <c r="N44" s="14">
        <f>IF(A44="","",IF(M44&lt;&gt;"",M44-B44,TODAY()-B44))</f>
        <v/>
      </c>
      <c r="O44" s="14">
        <f>IF(A44="","",IF(AND(M44="",TODAY()&gt;K44),"OVERDUE",IF(AND(M44&lt;&gt;"",M44&gt;K44),"CLOSED LATE","")))</f>
        <v/>
      </c>
      <c r="P44" s="13" t="n"/>
      <c r="Q44" s="12" t="n"/>
      <c r="R44" s="12" t="n"/>
      <c r="S44" s="12" t="n"/>
      <c r="T44" s="13" t="n"/>
    </row>
    <row r="45">
      <c r="A45" s="10" t="n"/>
      <c r="B45" s="11" t="n"/>
      <c r="C45" s="12" t="n"/>
      <c r="D45" s="12" t="n"/>
      <c r="E45" s="13" t="n"/>
      <c r="F45" s="13" t="n"/>
      <c r="G45" s="13" t="n"/>
      <c r="H45" s="13" t="n"/>
      <c r="I45" s="12" t="n"/>
      <c r="J45" s="12" t="n"/>
      <c r="K45" s="11" t="n"/>
      <c r="L45" s="12" t="n"/>
      <c r="M45" s="11" t="n"/>
      <c r="N45" s="14">
        <f>IF(A45="","",IF(M45&lt;&gt;"",M45-B45,TODAY()-B45))</f>
        <v/>
      </c>
      <c r="O45" s="14">
        <f>IF(A45="","",IF(AND(M45="",TODAY()&gt;K45),"OVERDUE",IF(AND(M45&lt;&gt;"",M45&gt;K45),"CLOSED LATE","")))</f>
        <v/>
      </c>
      <c r="P45" s="13" t="n"/>
      <c r="Q45" s="12" t="n"/>
      <c r="R45" s="12" t="n"/>
      <c r="S45" s="12" t="n"/>
      <c r="T45" s="13" t="n"/>
    </row>
    <row r="46">
      <c r="A46" s="10" t="n"/>
      <c r="B46" s="11" t="n"/>
      <c r="C46" s="12" t="n"/>
      <c r="D46" s="12" t="n"/>
      <c r="E46" s="13" t="n"/>
      <c r="F46" s="13" t="n"/>
      <c r="G46" s="13" t="n"/>
      <c r="H46" s="13" t="n"/>
      <c r="I46" s="12" t="n"/>
      <c r="J46" s="12" t="n"/>
      <c r="K46" s="11" t="n"/>
      <c r="L46" s="12" t="n"/>
      <c r="M46" s="11" t="n"/>
      <c r="N46" s="14">
        <f>IF(A46="","",IF(M46&lt;&gt;"",M46-B46,TODAY()-B46))</f>
        <v/>
      </c>
      <c r="O46" s="14">
        <f>IF(A46="","",IF(AND(M46="",TODAY()&gt;K46),"OVERDUE",IF(AND(M46&lt;&gt;"",M46&gt;K46),"CLOSED LATE","")))</f>
        <v/>
      </c>
      <c r="P46" s="13" t="n"/>
      <c r="Q46" s="12" t="n"/>
      <c r="R46" s="12" t="n"/>
      <c r="S46" s="12" t="n"/>
      <c r="T46" s="13" t="n"/>
    </row>
    <row r="47">
      <c r="A47" s="10" t="n"/>
      <c r="B47" s="11" t="n"/>
      <c r="C47" s="12" t="n"/>
      <c r="D47" s="12" t="n"/>
      <c r="E47" s="13" t="n"/>
      <c r="F47" s="13" t="n"/>
      <c r="G47" s="13" t="n"/>
      <c r="H47" s="13" t="n"/>
      <c r="I47" s="12" t="n"/>
      <c r="J47" s="12" t="n"/>
      <c r="K47" s="11" t="n"/>
      <c r="L47" s="12" t="n"/>
      <c r="M47" s="11" t="n"/>
      <c r="N47" s="14">
        <f>IF(A47="","",IF(M47&lt;&gt;"",M47-B47,TODAY()-B47))</f>
        <v/>
      </c>
      <c r="O47" s="14">
        <f>IF(A47="","",IF(AND(M47="",TODAY()&gt;K47),"OVERDUE",IF(AND(M47&lt;&gt;"",M47&gt;K47),"CLOSED LATE","")))</f>
        <v/>
      </c>
      <c r="P47" s="13" t="n"/>
      <c r="Q47" s="12" t="n"/>
      <c r="R47" s="12" t="n"/>
      <c r="S47" s="12" t="n"/>
      <c r="T47" s="13" t="n"/>
    </row>
    <row r="48">
      <c r="A48" s="10" t="n"/>
      <c r="B48" s="11" t="n"/>
      <c r="C48" s="12" t="n"/>
      <c r="D48" s="12" t="n"/>
      <c r="E48" s="13" t="n"/>
      <c r="F48" s="13" t="n"/>
      <c r="G48" s="13" t="n"/>
      <c r="H48" s="13" t="n"/>
      <c r="I48" s="12" t="n"/>
      <c r="J48" s="12" t="n"/>
      <c r="K48" s="11" t="n"/>
      <c r="L48" s="12" t="n"/>
      <c r="M48" s="11" t="n"/>
      <c r="N48" s="14">
        <f>IF(A48="","",IF(M48&lt;&gt;"",M48-B48,TODAY()-B48))</f>
        <v/>
      </c>
      <c r="O48" s="14">
        <f>IF(A48="","",IF(AND(M48="",TODAY()&gt;K48),"OVERDUE",IF(AND(M48&lt;&gt;"",M48&gt;K48),"CLOSED LATE","")))</f>
        <v/>
      </c>
      <c r="P48" s="13" t="n"/>
      <c r="Q48" s="12" t="n"/>
      <c r="R48" s="12" t="n"/>
      <c r="S48" s="12" t="n"/>
      <c r="T48" s="13" t="n"/>
    </row>
    <row r="49">
      <c r="A49" s="10" t="n"/>
      <c r="B49" s="11" t="n"/>
      <c r="C49" s="12" t="n"/>
      <c r="D49" s="12" t="n"/>
      <c r="E49" s="13" t="n"/>
      <c r="F49" s="13" t="n"/>
      <c r="G49" s="13" t="n"/>
      <c r="H49" s="13" t="n"/>
      <c r="I49" s="12" t="n"/>
      <c r="J49" s="12" t="n"/>
      <c r="K49" s="11" t="n"/>
      <c r="L49" s="12" t="n"/>
      <c r="M49" s="11" t="n"/>
      <c r="N49" s="14">
        <f>IF(A49="","",IF(M49&lt;&gt;"",M49-B49,TODAY()-B49))</f>
        <v/>
      </c>
      <c r="O49" s="14">
        <f>IF(A49="","",IF(AND(M49="",TODAY()&gt;K49),"OVERDUE",IF(AND(M49&lt;&gt;"",M49&gt;K49),"CLOSED LATE","")))</f>
        <v/>
      </c>
      <c r="P49" s="13" t="n"/>
      <c r="Q49" s="12" t="n"/>
      <c r="R49" s="12" t="n"/>
      <c r="S49" s="12" t="n"/>
      <c r="T49" s="13" t="n"/>
    </row>
    <row r="50">
      <c r="A50" s="10" t="n"/>
      <c r="B50" s="11" t="n"/>
      <c r="C50" s="12" t="n"/>
      <c r="D50" s="12" t="n"/>
      <c r="E50" s="13" t="n"/>
      <c r="F50" s="13" t="n"/>
      <c r="G50" s="13" t="n"/>
      <c r="H50" s="13" t="n"/>
      <c r="I50" s="12" t="n"/>
      <c r="J50" s="12" t="n"/>
      <c r="K50" s="11" t="n"/>
      <c r="L50" s="12" t="n"/>
      <c r="M50" s="11" t="n"/>
      <c r="N50" s="14">
        <f>IF(A50="","",IF(M50&lt;&gt;"",M50-B50,TODAY()-B50))</f>
        <v/>
      </c>
      <c r="O50" s="14">
        <f>IF(A50="","",IF(AND(M50="",TODAY()&gt;K50),"OVERDUE",IF(AND(M50&lt;&gt;"",M50&gt;K50),"CLOSED LATE","")))</f>
        <v/>
      </c>
      <c r="P50" s="13" t="n"/>
      <c r="Q50" s="12" t="n"/>
      <c r="R50" s="12" t="n"/>
      <c r="S50" s="12" t="n"/>
      <c r="T50" s="13" t="n"/>
    </row>
    <row r="51">
      <c r="A51" s="10" t="n"/>
      <c r="B51" s="11" t="n"/>
      <c r="C51" s="12" t="n"/>
      <c r="D51" s="12" t="n"/>
      <c r="E51" s="13" t="n"/>
      <c r="F51" s="13" t="n"/>
      <c r="G51" s="13" t="n"/>
      <c r="H51" s="13" t="n"/>
      <c r="I51" s="12" t="n"/>
      <c r="J51" s="12" t="n"/>
      <c r="K51" s="11" t="n"/>
      <c r="L51" s="12" t="n"/>
      <c r="M51" s="11" t="n"/>
      <c r="N51" s="14">
        <f>IF(A51="","",IF(M51&lt;&gt;"",M51-B51,TODAY()-B51))</f>
        <v/>
      </c>
      <c r="O51" s="14">
        <f>IF(A51="","",IF(AND(M51="",TODAY()&gt;K51),"OVERDUE",IF(AND(M51&lt;&gt;"",M51&gt;K51),"CLOSED LATE","")))</f>
        <v/>
      </c>
      <c r="P51" s="13" t="n"/>
      <c r="Q51" s="12" t="n"/>
      <c r="R51" s="12" t="n"/>
      <c r="S51" s="12" t="n"/>
      <c r="T51" s="13" t="n"/>
    </row>
    <row r="52">
      <c r="A52" s="10" t="n"/>
      <c r="B52" s="11" t="n"/>
      <c r="C52" s="12" t="n"/>
      <c r="D52" s="12" t="n"/>
      <c r="E52" s="13" t="n"/>
      <c r="F52" s="13" t="n"/>
      <c r="G52" s="13" t="n"/>
      <c r="H52" s="13" t="n"/>
      <c r="I52" s="12" t="n"/>
      <c r="J52" s="12" t="n"/>
      <c r="K52" s="11" t="n"/>
      <c r="L52" s="12" t="n"/>
      <c r="M52" s="11" t="n"/>
      <c r="N52" s="14">
        <f>IF(A52="","",IF(M52&lt;&gt;"",M52-B52,TODAY()-B52))</f>
        <v/>
      </c>
      <c r="O52" s="14">
        <f>IF(A52="","",IF(AND(M52="",TODAY()&gt;K52),"OVERDUE",IF(AND(M52&lt;&gt;"",M52&gt;K52),"CLOSED LATE","")))</f>
        <v/>
      </c>
      <c r="P52" s="13" t="n"/>
      <c r="Q52" s="12" t="n"/>
      <c r="R52" s="12" t="n"/>
      <c r="S52" s="12" t="n"/>
      <c r="T52" s="13" t="n"/>
    </row>
    <row r="53">
      <c r="A53" s="10" t="n"/>
      <c r="B53" s="11" t="n"/>
      <c r="C53" s="12" t="n"/>
      <c r="D53" s="12" t="n"/>
      <c r="E53" s="13" t="n"/>
      <c r="F53" s="13" t="n"/>
      <c r="G53" s="13" t="n"/>
      <c r="H53" s="13" t="n"/>
      <c r="I53" s="12" t="n"/>
      <c r="J53" s="12" t="n"/>
      <c r="K53" s="11" t="n"/>
      <c r="L53" s="12" t="n"/>
      <c r="M53" s="11" t="n"/>
      <c r="N53" s="14">
        <f>IF(A53="","",IF(M53&lt;&gt;"",M53-B53,TODAY()-B53))</f>
        <v/>
      </c>
      <c r="O53" s="14">
        <f>IF(A53="","",IF(AND(M53="",TODAY()&gt;K53),"OVERDUE",IF(AND(M53&lt;&gt;"",M53&gt;K53),"CLOSED LATE","")))</f>
        <v/>
      </c>
      <c r="P53" s="13" t="n"/>
      <c r="Q53" s="12" t="n"/>
      <c r="R53" s="12" t="n"/>
      <c r="S53" s="12" t="n"/>
      <c r="T53" s="13" t="n"/>
    </row>
    <row r="54">
      <c r="A54" s="10" t="n"/>
      <c r="B54" s="11" t="n"/>
      <c r="C54" s="12" t="n"/>
      <c r="D54" s="12" t="n"/>
      <c r="E54" s="13" t="n"/>
      <c r="F54" s="13" t="n"/>
      <c r="G54" s="13" t="n"/>
      <c r="H54" s="13" t="n"/>
      <c r="I54" s="12" t="n"/>
      <c r="J54" s="12" t="n"/>
      <c r="K54" s="11" t="n"/>
      <c r="L54" s="12" t="n"/>
      <c r="M54" s="11" t="n"/>
      <c r="N54" s="14">
        <f>IF(A54="","",IF(M54&lt;&gt;"",M54-B54,TODAY()-B54))</f>
        <v/>
      </c>
      <c r="O54" s="14">
        <f>IF(A54="","",IF(AND(M54="",TODAY()&gt;K54),"OVERDUE",IF(AND(M54&lt;&gt;"",M54&gt;K54),"CLOSED LATE","")))</f>
        <v/>
      </c>
      <c r="P54" s="13" t="n"/>
      <c r="Q54" s="12" t="n"/>
      <c r="R54" s="12" t="n"/>
      <c r="S54" s="12" t="n"/>
      <c r="T54" s="13" t="n"/>
    </row>
    <row r="55">
      <c r="A55" s="10" t="n"/>
      <c r="B55" s="11" t="n"/>
      <c r="C55" s="12" t="n"/>
      <c r="D55" s="12" t="n"/>
      <c r="E55" s="13" t="n"/>
      <c r="F55" s="13" t="n"/>
      <c r="G55" s="13" t="n"/>
      <c r="H55" s="13" t="n"/>
      <c r="I55" s="12" t="n"/>
      <c r="J55" s="12" t="n"/>
      <c r="K55" s="11" t="n"/>
      <c r="L55" s="12" t="n"/>
      <c r="M55" s="11" t="n"/>
      <c r="N55" s="14">
        <f>IF(A55="","",IF(M55&lt;&gt;"",M55-B55,TODAY()-B55))</f>
        <v/>
      </c>
      <c r="O55" s="14">
        <f>IF(A55="","",IF(AND(M55="",TODAY()&gt;K55),"OVERDUE",IF(AND(M55&lt;&gt;"",M55&gt;K55),"CLOSED LATE","")))</f>
        <v/>
      </c>
      <c r="P55" s="13" t="n"/>
      <c r="Q55" s="12" t="n"/>
      <c r="R55" s="12" t="n"/>
      <c r="S55" s="12" t="n"/>
      <c r="T55" s="13" t="n"/>
    </row>
    <row r="56">
      <c r="A56" s="10" t="n"/>
      <c r="B56" s="11" t="n"/>
      <c r="C56" s="12" t="n"/>
      <c r="D56" s="12" t="n"/>
      <c r="E56" s="13" t="n"/>
      <c r="F56" s="13" t="n"/>
      <c r="G56" s="13" t="n"/>
      <c r="H56" s="13" t="n"/>
      <c r="I56" s="12" t="n"/>
      <c r="J56" s="12" t="n"/>
      <c r="K56" s="11" t="n"/>
      <c r="L56" s="12" t="n"/>
      <c r="M56" s="11" t="n"/>
      <c r="N56" s="14">
        <f>IF(A56="","",IF(M56&lt;&gt;"",M56-B56,TODAY()-B56))</f>
        <v/>
      </c>
      <c r="O56" s="14">
        <f>IF(A56="","",IF(AND(M56="",TODAY()&gt;K56),"OVERDUE",IF(AND(M56&lt;&gt;"",M56&gt;K56),"CLOSED LATE","")))</f>
        <v/>
      </c>
      <c r="P56" s="13" t="n"/>
      <c r="Q56" s="12" t="n"/>
      <c r="R56" s="12" t="n"/>
      <c r="S56" s="12" t="n"/>
      <c r="T56" s="13" t="n"/>
    </row>
    <row r="57">
      <c r="A57" s="10" t="n"/>
      <c r="B57" s="11" t="n"/>
      <c r="C57" s="12" t="n"/>
      <c r="D57" s="12" t="n"/>
      <c r="E57" s="13" t="n"/>
      <c r="F57" s="13" t="n"/>
      <c r="G57" s="13" t="n"/>
      <c r="H57" s="13" t="n"/>
      <c r="I57" s="12" t="n"/>
      <c r="J57" s="12" t="n"/>
      <c r="K57" s="11" t="n"/>
      <c r="L57" s="12" t="n"/>
      <c r="M57" s="11" t="n"/>
      <c r="N57" s="14">
        <f>IF(A57="","",IF(M57&lt;&gt;"",M57-B57,TODAY()-B57))</f>
        <v/>
      </c>
      <c r="O57" s="14">
        <f>IF(A57="","",IF(AND(M57="",TODAY()&gt;K57),"OVERDUE",IF(AND(M57&lt;&gt;"",M57&gt;K57),"CLOSED LATE","")))</f>
        <v/>
      </c>
      <c r="P57" s="13" t="n"/>
      <c r="Q57" s="12" t="n"/>
      <c r="R57" s="12" t="n"/>
      <c r="S57" s="12" t="n"/>
      <c r="T57" s="13" t="n"/>
    </row>
    <row r="58">
      <c r="A58" s="10" t="n"/>
      <c r="B58" s="11" t="n"/>
      <c r="C58" s="12" t="n"/>
      <c r="D58" s="12" t="n"/>
      <c r="E58" s="13" t="n"/>
      <c r="F58" s="13" t="n"/>
      <c r="G58" s="13" t="n"/>
      <c r="H58" s="13" t="n"/>
      <c r="I58" s="12" t="n"/>
      <c r="J58" s="12" t="n"/>
      <c r="K58" s="11" t="n"/>
      <c r="L58" s="12" t="n"/>
      <c r="M58" s="11" t="n"/>
      <c r="N58" s="14">
        <f>IF(A58="","",IF(M58&lt;&gt;"",M58-B58,TODAY()-B58))</f>
        <v/>
      </c>
      <c r="O58" s="14">
        <f>IF(A58="","",IF(AND(M58="",TODAY()&gt;K58),"OVERDUE",IF(AND(M58&lt;&gt;"",M58&gt;K58),"CLOSED LATE","")))</f>
        <v/>
      </c>
      <c r="P58" s="13" t="n"/>
      <c r="Q58" s="12" t="n"/>
      <c r="R58" s="12" t="n"/>
      <c r="S58" s="12" t="n"/>
      <c r="T58" s="13" t="n"/>
    </row>
    <row r="59">
      <c r="A59" s="10" t="n"/>
      <c r="B59" s="11" t="n"/>
      <c r="C59" s="12" t="n"/>
      <c r="D59" s="12" t="n"/>
      <c r="E59" s="13" t="n"/>
      <c r="F59" s="13" t="n"/>
      <c r="G59" s="13" t="n"/>
      <c r="H59" s="13" t="n"/>
      <c r="I59" s="12" t="n"/>
      <c r="J59" s="12" t="n"/>
      <c r="K59" s="11" t="n"/>
      <c r="L59" s="12" t="n"/>
      <c r="M59" s="11" t="n"/>
      <c r="N59" s="14">
        <f>IF(A59="","",IF(M59&lt;&gt;"",M59-B59,TODAY()-B59))</f>
        <v/>
      </c>
      <c r="O59" s="14">
        <f>IF(A59="","",IF(AND(M59="",TODAY()&gt;K59),"OVERDUE",IF(AND(M59&lt;&gt;"",M59&gt;K59),"CLOSED LATE","")))</f>
        <v/>
      </c>
      <c r="P59" s="13" t="n"/>
      <c r="Q59" s="12" t="n"/>
      <c r="R59" s="12" t="n"/>
      <c r="S59" s="12" t="n"/>
      <c r="T59" s="13" t="n"/>
    </row>
    <row r="60">
      <c r="A60" s="10" t="n"/>
      <c r="B60" s="11" t="n"/>
      <c r="C60" s="12" t="n"/>
      <c r="D60" s="12" t="n"/>
      <c r="E60" s="13" t="n"/>
      <c r="F60" s="13" t="n"/>
      <c r="G60" s="13" t="n"/>
      <c r="H60" s="13" t="n"/>
      <c r="I60" s="12" t="n"/>
      <c r="J60" s="12" t="n"/>
      <c r="K60" s="11" t="n"/>
      <c r="L60" s="12" t="n"/>
      <c r="M60" s="11" t="n"/>
      <c r="N60" s="14">
        <f>IF(A60="","",IF(M60&lt;&gt;"",M60-B60,TODAY()-B60))</f>
        <v/>
      </c>
      <c r="O60" s="14">
        <f>IF(A60="","",IF(AND(M60="",TODAY()&gt;K60),"OVERDUE",IF(AND(M60&lt;&gt;"",M60&gt;K60),"CLOSED LATE","")))</f>
        <v/>
      </c>
      <c r="P60" s="13" t="n"/>
      <c r="Q60" s="12" t="n"/>
      <c r="R60" s="12" t="n"/>
      <c r="S60" s="12" t="n"/>
      <c r="T60" s="13" t="n"/>
    </row>
    <row r="61">
      <c r="A61" s="10" t="n"/>
      <c r="B61" s="11" t="n"/>
      <c r="C61" s="12" t="n"/>
      <c r="D61" s="12" t="n"/>
      <c r="E61" s="13" t="n"/>
      <c r="F61" s="13" t="n"/>
      <c r="G61" s="13" t="n"/>
      <c r="H61" s="13" t="n"/>
      <c r="I61" s="12" t="n"/>
      <c r="J61" s="12" t="n"/>
      <c r="K61" s="11" t="n"/>
      <c r="L61" s="12" t="n"/>
      <c r="M61" s="11" t="n"/>
      <c r="N61" s="14">
        <f>IF(A61="","",IF(M61&lt;&gt;"",M61-B61,TODAY()-B61))</f>
        <v/>
      </c>
      <c r="O61" s="14">
        <f>IF(A61="","",IF(AND(M61="",TODAY()&gt;K61),"OVERDUE",IF(AND(M61&lt;&gt;"",M61&gt;K61),"CLOSED LATE","")))</f>
        <v/>
      </c>
      <c r="P61" s="13" t="n"/>
      <c r="Q61" s="12" t="n"/>
      <c r="R61" s="12" t="n"/>
      <c r="S61" s="12" t="n"/>
      <c r="T61" s="13" t="n"/>
    </row>
    <row r="62">
      <c r="A62" s="10" t="n"/>
      <c r="B62" s="11" t="n"/>
      <c r="C62" s="12" t="n"/>
      <c r="D62" s="12" t="n"/>
      <c r="E62" s="13" t="n"/>
      <c r="F62" s="13" t="n"/>
      <c r="G62" s="13" t="n"/>
      <c r="H62" s="13" t="n"/>
      <c r="I62" s="12" t="n"/>
      <c r="J62" s="12" t="n"/>
      <c r="K62" s="11" t="n"/>
      <c r="L62" s="12" t="n"/>
      <c r="M62" s="11" t="n"/>
      <c r="N62" s="14">
        <f>IF(A62="","",IF(M62&lt;&gt;"",M62-B62,TODAY()-B62))</f>
        <v/>
      </c>
      <c r="O62" s="14">
        <f>IF(A62="","",IF(AND(M62="",TODAY()&gt;K62),"OVERDUE",IF(AND(M62&lt;&gt;"",M62&gt;K62),"CLOSED LATE","")))</f>
        <v/>
      </c>
      <c r="P62" s="13" t="n"/>
      <c r="Q62" s="12" t="n"/>
      <c r="R62" s="12" t="n"/>
      <c r="S62" s="12" t="n"/>
      <c r="T62" s="13" t="n"/>
    </row>
    <row r="63">
      <c r="A63" s="10" t="n"/>
      <c r="B63" s="11" t="n"/>
      <c r="C63" s="12" t="n"/>
      <c r="D63" s="12" t="n"/>
      <c r="E63" s="13" t="n"/>
      <c r="F63" s="13" t="n"/>
      <c r="G63" s="13" t="n"/>
      <c r="H63" s="13" t="n"/>
      <c r="I63" s="12" t="n"/>
      <c r="J63" s="12" t="n"/>
      <c r="K63" s="11" t="n"/>
      <c r="L63" s="12" t="n"/>
      <c r="M63" s="11" t="n"/>
      <c r="N63" s="14">
        <f>IF(A63="","",IF(M63&lt;&gt;"",M63-B63,TODAY()-B63))</f>
        <v/>
      </c>
      <c r="O63" s="14">
        <f>IF(A63="","",IF(AND(M63="",TODAY()&gt;K63),"OVERDUE",IF(AND(M63&lt;&gt;"",M63&gt;K63),"CLOSED LATE","")))</f>
        <v/>
      </c>
      <c r="P63" s="13" t="n"/>
      <c r="Q63" s="12" t="n"/>
      <c r="R63" s="12" t="n"/>
      <c r="S63" s="12" t="n"/>
      <c r="T63" s="13" t="n"/>
    </row>
    <row r="64">
      <c r="A64" s="10" t="n"/>
      <c r="B64" s="11" t="n"/>
      <c r="C64" s="12" t="n"/>
      <c r="D64" s="12" t="n"/>
      <c r="E64" s="13" t="n"/>
      <c r="F64" s="13" t="n"/>
      <c r="G64" s="13" t="n"/>
      <c r="H64" s="13" t="n"/>
      <c r="I64" s="12" t="n"/>
      <c r="J64" s="12" t="n"/>
      <c r="K64" s="11" t="n"/>
      <c r="L64" s="12" t="n"/>
      <c r="M64" s="11" t="n"/>
      <c r="N64" s="14">
        <f>IF(A64="","",IF(M64&lt;&gt;"",M64-B64,TODAY()-B64))</f>
        <v/>
      </c>
      <c r="O64" s="14">
        <f>IF(A64="","",IF(AND(M64="",TODAY()&gt;K64),"OVERDUE",IF(AND(M64&lt;&gt;"",M64&gt;K64),"CLOSED LATE","")))</f>
        <v/>
      </c>
      <c r="P64" s="13" t="n"/>
      <c r="Q64" s="12" t="n"/>
      <c r="R64" s="12" t="n"/>
      <c r="S64" s="12" t="n"/>
      <c r="T64" s="13" t="n"/>
    </row>
    <row r="65">
      <c r="A65" s="10" t="n"/>
      <c r="B65" s="11" t="n"/>
      <c r="C65" s="12" t="n"/>
      <c r="D65" s="12" t="n"/>
      <c r="E65" s="13" t="n"/>
      <c r="F65" s="13" t="n"/>
      <c r="G65" s="13" t="n"/>
      <c r="H65" s="13" t="n"/>
      <c r="I65" s="12" t="n"/>
      <c r="J65" s="12" t="n"/>
      <c r="K65" s="11" t="n"/>
      <c r="L65" s="12" t="n"/>
      <c r="M65" s="11" t="n"/>
      <c r="N65" s="14">
        <f>IF(A65="","",IF(M65&lt;&gt;"",M65-B65,TODAY()-B65))</f>
        <v/>
      </c>
      <c r="O65" s="14">
        <f>IF(A65="","",IF(AND(M65="",TODAY()&gt;K65),"OVERDUE",IF(AND(M65&lt;&gt;"",M65&gt;K65),"CLOSED LATE","")))</f>
        <v/>
      </c>
      <c r="P65" s="13" t="n"/>
      <c r="Q65" s="12" t="n"/>
      <c r="R65" s="12" t="n"/>
      <c r="S65" s="12" t="n"/>
      <c r="T65" s="13" t="n"/>
    </row>
    <row r="66">
      <c r="A66" s="10" t="n"/>
      <c r="B66" s="11" t="n"/>
      <c r="C66" s="12" t="n"/>
      <c r="D66" s="12" t="n"/>
      <c r="E66" s="13" t="n"/>
      <c r="F66" s="13" t="n"/>
      <c r="G66" s="13" t="n"/>
      <c r="H66" s="13" t="n"/>
      <c r="I66" s="12" t="n"/>
      <c r="J66" s="12" t="n"/>
      <c r="K66" s="11" t="n"/>
      <c r="L66" s="12" t="n"/>
      <c r="M66" s="11" t="n"/>
      <c r="N66" s="14">
        <f>IF(A66="","",IF(M66&lt;&gt;"",M66-B66,TODAY()-B66))</f>
        <v/>
      </c>
      <c r="O66" s="14">
        <f>IF(A66="","",IF(AND(M66="",TODAY()&gt;K66),"OVERDUE",IF(AND(M66&lt;&gt;"",M66&gt;K66),"CLOSED LATE","")))</f>
        <v/>
      </c>
      <c r="P66" s="13" t="n"/>
      <c r="Q66" s="12" t="n"/>
      <c r="R66" s="12" t="n"/>
      <c r="S66" s="12" t="n"/>
      <c r="T66" s="13" t="n"/>
    </row>
    <row r="67">
      <c r="A67" s="10" t="n"/>
      <c r="B67" s="11" t="n"/>
      <c r="C67" s="12" t="n"/>
      <c r="D67" s="12" t="n"/>
      <c r="E67" s="13" t="n"/>
      <c r="F67" s="13" t="n"/>
      <c r="G67" s="13" t="n"/>
      <c r="H67" s="13" t="n"/>
      <c r="I67" s="12" t="n"/>
      <c r="J67" s="12" t="n"/>
      <c r="K67" s="11" t="n"/>
      <c r="L67" s="12" t="n"/>
      <c r="M67" s="11" t="n"/>
      <c r="N67" s="14">
        <f>IF(A67="","",IF(M67&lt;&gt;"",M67-B67,TODAY()-B67))</f>
        <v/>
      </c>
      <c r="O67" s="14">
        <f>IF(A67="","",IF(AND(M67="",TODAY()&gt;K67),"OVERDUE",IF(AND(M67&lt;&gt;"",M67&gt;K67),"CLOSED LATE","")))</f>
        <v/>
      </c>
      <c r="P67" s="13" t="n"/>
      <c r="Q67" s="12" t="n"/>
      <c r="R67" s="12" t="n"/>
      <c r="S67" s="12" t="n"/>
      <c r="T67" s="13" t="n"/>
    </row>
    <row r="68">
      <c r="A68" s="10" t="n"/>
      <c r="B68" s="11" t="n"/>
      <c r="C68" s="12" t="n"/>
      <c r="D68" s="12" t="n"/>
      <c r="E68" s="13" t="n"/>
      <c r="F68" s="13" t="n"/>
      <c r="G68" s="13" t="n"/>
      <c r="H68" s="13" t="n"/>
      <c r="I68" s="12" t="n"/>
      <c r="J68" s="12" t="n"/>
      <c r="K68" s="11" t="n"/>
      <c r="L68" s="12" t="n"/>
      <c r="M68" s="11" t="n"/>
      <c r="N68" s="14">
        <f>IF(A68="","",IF(M68&lt;&gt;"",M68-B68,TODAY()-B68))</f>
        <v/>
      </c>
      <c r="O68" s="14">
        <f>IF(A68="","",IF(AND(M68="",TODAY()&gt;K68),"OVERDUE",IF(AND(M68&lt;&gt;"",M68&gt;K68),"CLOSED LATE","")))</f>
        <v/>
      </c>
      <c r="P68" s="13" t="n"/>
      <c r="Q68" s="12" t="n"/>
      <c r="R68" s="12" t="n"/>
      <c r="S68" s="12" t="n"/>
      <c r="T68" s="13" t="n"/>
    </row>
    <row r="69">
      <c r="A69" s="10" t="n"/>
      <c r="B69" s="11" t="n"/>
      <c r="C69" s="12" t="n"/>
      <c r="D69" s="12" t="n"/>
      <c r="E69" s="13" t="n"/>
      <c r="F69" s="13" t="n"/>
      <c r="G69" s="13" t="n"/>
      <c r="H69" s="13" t="n"/>
      <c r="I69" s="12" t="n"/>
      <c r="J69" s="12" t="n"/>
      <c r="K69" s="11" t="n"/>
      <c r="L69" s="12" t="n"/>
      <c r="M69" s="11" t="n"/>
      <c r="N69" s="14">
        <f>IF(A69="","",IF(M69&lt;&gt;"",M69-B69,TODAY()-B69))</f>
        <v/>
      </c>
      <c r="O69" s="14">
        <f>IF(A69="","",IF(AND(M69="",TODAY()&gt;K69),"OVERDUE",IF(AND(M69&lt;&gt;"",M69&gt;K69),"CLOSED LATE","")))</f>
        <v/>
      </c>
      <c r="P69" s="13" t="n"/>
      <c r="Q69" s="12" t="n"/>
      <c r="R69" s="12" t="n"/>
      <c r="S69" s="12" t="n"/>
      <c r="T69" s="13" t="n"/>
    </row>
    <row r="70">
      <c r="A70" s="10" t="n"/>
      <c r="B70" s="11" t="n"/>
      <c r="C70" s="12" t="n"/>
      <c r="D70" s="12" t="n"/>
      <c r="E70" s="13" t="n"/>
      <c r="F70" s="13" t="n"/>
      <c r="G70" s="13" t="n"/>
      <c r="H70" s="13" t="n"/>
      <c r="I70" s="12" t="n"/>
      <c r="J70" s="12" t="n"/>
      <c r="K70" s="11" t="n"/>
      <c r="L70" s="12" t="n"/>
      <c r="M70" s="11" t="n"/>
      <c r="N70" s="14">
        <f>IF(A70="","",IF(M70&lt;&gt;"",M70-B70,TODAY()-B70))</f>
        <v/>
      </c>
      <c r="O70" s="14">
        <f>IF(A70="","",IF(AND(M70="",TODAY()&gt;K70),"OVERDUE",IF(AND(M70&lt;&gt;"",M70&gt;K70),"CLOSED LATE","")))</f>
        <v/>
      </c>
      <c r="P70" s="13" t="n"/>
      <c r="Q70" s="12" t="n"/>
      <c r="R70" s="12" t="n"/>
      <c r="S70" s="12" t="n"/>
      <c r="T70" s="13" t="n"/>
    </row>
    <row r="71">
      <c r="A71" s="10" t="n"/>
      <c r="B71" s="11" t="n"/>
      <c r="C71" s="12" t="n"/>
      <c r="D71" s="12" t="n"/>
      <c r="E71" s="13" t="n"/>
      <c r="F71" s="13" t="n"/>
      <c r="G71" s="13" t="n"/>
      <c r="H71" s="13" t="n"/>
      <c r="I71" s="12" t="n"/>
      <c r="J71" s="12" t="n"/>
      <c r="K71" s="11" t="n"/>
      <c r="L71" s="12" t="n"/>
      <c r="M71" s="11" t="n"/>
      <c r="N71" s="14">
        <f>IF(A71="","",IF(M71&lt;&gt;"",M71-B71,TODAY()-B71))</f>
        <v/>
      </c>
      <c r="O71" s="14">
        <f>IF(A71="","",IF(AND(M71="",TODAY()&gt;K71),"OVERDUE",IF(AND(M71&lt;&gt;"",M71&gt;K71),"CLOSED LATE","")))</f>
        <v/>
      </c>
      <c r="P71" s="13" t="n"/>
      <c r="Q71" s="12" t="n"/>
      <c r="R71" s="12" t="n"/>
      <c r="S71" s="12" t="n"/>
      <c r="T71" s="13" t="n"/>
    </row>
    <row r="72">
      <c r="A72" s="10" t="n"/>
      <c r="B72" s="11" t="n"/>
      <c r="C72" s="12" t="n"/>
      <c r="D72" s="12" t="n"/>
      <c r="E72" s="13" t="n"/>
      <c r="F72" s="13" t="n"/>
      <c r="G72" s="13" t="n"/>
      <c r="H72" s="13" t="n"/>
      <c r="I72" s="12" t="n"/>
      <c r="J72" s="12" t="n"/>
      <c r="K72" s="11" t="n"/>
      <c r="L72" s="12" t="n"/>
      <c r="M72" s="11" t="n"/>
      <c r="N72" s="14">
        <f>IF(A72="","",IF(M72&lt;&gt;"",M72-B72,TODAY()-B72))</f>
        <v/>
      </c>
      <c r="O72" s="14">
        <f>IF(A72="","",IF(AND(M72="",TODAY()&gt;K72),"OVERDUE",IF(AND(M72&lt;&gt;"",M72&gt;K72),"CLOSED LATE","")))</f>
        <v/>
      </c>
      <c r="P72" s="13" t="n"/>
      <c r="Q72" s="12" t="n"/>
      <c r="R72" s="12" t="n"/>
      <c r="S72" s="12" t="n"/>
      <c r="T72" s="13" t="n"/>
    </row>
    <row r="73">
      <c r="A73" s="10" t="n"/>
      <c r="B73" s="11" t="n"/>
      <c r="C73" s="12" t="n"/>
      <c r="D73" s="12" t="n"/>
      <c r="E73" s="13" t="n"/>
      <c r="F73" s="13" t="n"/>
      <c r="G73" s="13" t="n"/>
      <c r="H73" s="13" t="n"/>
      <c r="I73" s="12" t="n"/>
      <c r="J73" s="12" t="n"/>
      <c r="K73" s="11" t="n"/>
      <c r="L73" s="12" t="n"/>
      <c r="M73" s="11" t="n"/>
      <c r="N73" s="14">
        <f>IF(A73="","",IF(M73&lt;&gt;"",M73-B73,TODAY()-B73))</f>
        <v/>
      </c>
      <c r="O73" s="14">
        <f>IF(A73="","",IF(AND(M73="",TODAY()&gt;K73),"OVERDUE",IF(AND(M73&lt;&gt;"",M73&gt;K73),"CLOSED LATE","")))</f>
        <v/>
      </c>
      <c r="P73" s="13" t="n"/>
      <c r="Q73" s="12" t="n"/>
      <c r="R73" s="12" t="n"/>
      <c r="S73" s="12" t="n"/>
      <c r="T73" s="13" t="n"/>
    </row>
    <row r="74">
      <c r="A74" s="10" t="n"/>
      <c r="B74" s="11" t="n"/>
      <c r="C74" s="12" t="n"/>
      <c r="D74" s="12" t="n"/>
      <c r="E74" s="13" t="n"/>
      <c r="F74" s="13" t="n"/>
      <c r="G74" s="13" t="n"/>
      <c r="H74" s="13" t="n"/>
      <c r="I74" s="12" t="n"/>
      <c r="J74" s="12" t="n"/>
      <c r="K74" s="11" t="n"/>
      <c r="L74" s="12" t="n"/>
      <c r="M74" s="11" t="n"/>
      <c r="N74" s="14">
        <f>IF(A74="","",IF(M74&lt;&gt;"",M74-B74,TODAY()-B74))</f>
        <v/>
      </c>
      <c r="O74" s="14">
        <f>IF(A74="","",IF(AND(M74="",TODAY()&gt;K74),"OVERDUE",IF(AND(M74&lt;&gt;"",M74&gt;K74),"CLOSED LATE","")))</f>
        <v/>
      </c>
      <c r="P74" s="13" t="n"/>
      <c r="Q74" s="12" t="n"/>
      <c r="R74" s="12" t="n"/>
      <c r="S74" s="12" t="n"/>
      <c r="T74" s="13" t="n"/>
    </row>
    <row r="75">
      <c r="A75" s="10" t="n"/>
      <c r="B75" s="11" t="n"/>
      <c r="C75" s="12" t="n"/>
      <c r="D75" s="12" t="n"/>
      <c r="E75" s="13" t="n"/>
      <c r="F75" s="13" t="n"/>
      <c r="G75" s="13" t="n"/>
      <c r="H75" s="13" t="n"/>
      <c r="I75" s="12" t="n"/>
      <c r="J75" s="12" t="n"/>
      <c r="K75" s="11" t="n"/>
      <c r="L75" s="12" t="n"/>
      <c r="M75" s="11" t="n"/>
      <c r="N75" s="14">
        <f>IF(A75="","",IF(M75&lt;&gt;"",M75-B75,TODAY()-B75))</f>
        <v/>
      </c>
      <c r="O75" s="14">
        <f>IF(A75="","",IF(AND(M75="",TODAY()&gt;K75),"OVERDUE",IF(AND(M75&lt;&gt;"",M75&gt;K75),"CLOSED LATE","")))</f>
        <v/>
      </c>
      <c r="P75" s="13" t="n"/>
      <c r="Q75" s="12" t="n"/>
      <c r="R75" s="12" t="n"/>
      <c r="S75" s="12" t="n"/>
      <c r="T75" s="13" t="n"/>
    </row>
    <row r="76">
      <c r="A76" s="10" t="n"/>
      <c r="B76" s="11" t="n"/>
      <c r="C76" s="12" t="n"/>
      <c r="D76" s="12" t="n"/>
      <c r="E76" s="13" t="n"/>
      <c r="F76" s="13" t="n"/>
      <c r="G76" s="13" t="n"/>
      <c r="H76" s="13" t="n"/>
      <c r="I76" s="12" t="n"/>
      <c r="J76" s="12" t="n"/>
      <c r="K76" s="11" t="n"/>
      <c r="L76" s="12" t="n"/>
      <c r="M76" s="11" t="n"/>
      <c r="N76" s="14">
        <f>IF(A76="","",IF(M76&lt;&gt;"",M76-B76,TODAY()-B76))</f>
        <v/>
      </c>
      <c r="O76" s="14">
        <f>IF(A76="","",IF(AND(M76="",TODAY()&gt;K76),"OVERDUE",IF(AND(M76&lt;&gt;"",M76&gt;K76),"CLOSED LATE","")))</f>
        <v/>
      </c>
      <c r="P76" s="13" t="n"/>
      <c r="Q76" s="12" t="n"/>
      <c r="R76" s="12" t="n"/>
      <c r="S76" s="12" t="n"/>
      <c r="T76" s="13" t="n"/>
    </row>
    <row r="77">
      <c r="A77" s="10" t="n"/>
      <c r="B77" s="11" t="n"/>
      <c r="C77" s="12" t="n"/>
      <c r="D77" s="12" t="n"/>
      <c r="E77" s="13" t="n"/>
      <c r="F77" s="13" t="n"/>
      <c r="G77" s="13" t="n"/>
      <c r="H77" s="13" t="n"/>
      <c r="I77" s="12" t="n"/>
      <c r="J77" s="12" t="n"/>
      <c r="K77" s="11" t="n"/>
      <c r="L77" s="12" t="n"/>
      <c r="M77" s="11" t="n"/>
      <c r="N77" s="14">
        <f>IF(A77="","",IF(M77&lt;&gt;"",M77-B77,TODAY()-B77))</f>
        <v/>
      </c>
      <c r="O77" s="14">
        <f>IF(A77="","",IF(AND(M77="",TODAY()&gt;K77),"OVERDUE",IF(AND(M77&lt;&gt;"",M77&gt;K77),"CLOSED LATE","")))</f>
        <v/>
      </c>
      <c r="P77" s="13" t="n"/>
      <c r="Q77" s="12" t="n"/>
      <c r="R77" s="12" t="n"/>
      <c r="S77" s="12" t="n"/>
      <c r="T77" s="13" t="n"/>
    </row>
    <row r="78">
      <c r="A78" s="10" t="n"/>
      <c r="B78" s="11" t="n"/>
      <c r="C78" s="12" t="n"/>
      <c r="D78" s="12" t="n"/>
      <c r="E78" s="13" t="n"/>
      <c r="F78" s="13" t="n"/>
      <c r="G78" s="13" t="n"/>
      <c r="H78" s="13" t="n"/>
      <c r="I78" s="12" t="n"/>
      <c r="J78" s="12" t="n"/>
      <c r="K78" s="11" t="n"/>
      <c r="L78" s="12" t="n"/>
      <c r="M78" s="11" t="n"/>
      <c r="N78" s="14">
        <f>IF(A78="","",IF(M78&lt;&gt;"",M78-B78,TODAY()-B78))</f>
        <v/>
      </c>
      <c r="O78" s="14">
        <f>IF(A78="","",IF(AND(M78="",TODAY()&gt;K78),"OVERDUE",IF(AND(M78&lt;&gt;"",M78&gt;K78),"CLOSED LATE","")))</f>
        <v/>
      </c>
      <c r="P78" s="13" t="n"/>
      <c r="Q78" s="12" t="n"/>
      <c r="R78" s="12" t="n"/>
      <c r="S78" s="12" t="n"/>
      <c r="T78" s="13" t="n"/>
    </row>
    <row r="79">
      <c r="A79" s="10" t="n"/>
      <c r="B79" s="11" t="n"/>
      <c r="C79" s="12" t="n"/>
      <c r="D79" s="12" t="n"/>
      <c r="E79" s="13" t="n"/>
      <c r="F79" s="13" t="n"/>
      <c r="G79" s="13" t="n"/>
      <c r="H79" s="13" t="n"/>
      <c r="I79" s="12" t="n"/>
      <c r="J79" s="12" t="n"/>
      <c r="K79" s="11" t="n"/>
      <c r="L79" s="12" t="n"/>
      <c r="M79" s="11" t="n"/>
      <c r="N79" s="14">
        <f>IF(A79="","",IF(M79&lt;&gt;"",M79-B79,TODAY()-B79))</f>
        <v/>
      </c>
      <c r="O79" s="14">
        <f>IF(A79="","",IF(AND(M79="",TODAY()&gt;K79),"OVERDUE",IF(AND(M79&lt;&gt;"",M79&gt;K79),"CLOSED LATE","")))</f>
        <v/>
      </c>
      <c r="P79" s="13" t="n"/>
      <c r="Q79" s="12" t="n"/>
      <c r="R79" s="12" t="n"/>
      <c r="S79" s="12" t="n"/>
      <c r="T79" s="13" t="n"/>
    </row>
    <row r="80">
      <c r="A80" s="10" t="n"/>
      <c r="B80" s="11" t="n"/>
      <c r="C80" s="12" t="n"/>
      <c r="D80" s="12" t="n"/>
      <c r="E80" s="13" t="n"/>
      <c r="F80" s="13" t="n"/>
      <c r="G80" s="13" t="n"/>
      <c r="H80" s="13" t="n"/>
      <c r="I80" s="12" t="n"/>
      <c r="J80" s="12" t="n"/>
      <c r="K80" s="11" t="n"/>
      <c r="L80" s="12" t="n"/>
      <c r="M80" s="11" t="n"/>
      <c r="N80" s="14">
        <f>IF(A80="","",IF(M80&lt;&gt;"",M80-B80,TODAY()-B80))</f>
        <v/>
      </c>
      <c r="O80" s="14">
        <f>IF(A80="","",IF(AND(M80="",TODAY()&gt;K80),"OVERDUE",IF(AND(M80&lt;&gt;"",M80&gt;K80),"CLOSED LATE","")))</f>
        <v/>
      </c>
      <c r="P80" s="13" t="n"/>
      <c r="Q80" s="12" t="n"/>
      <c r="R80" s="12" t="n"/>
      <c r="S80" s="12" t="n"/>
      <c r="T80" s="13" t="n"/>
    </row>
    <row r="81">
      <c r="A81" s="10" t="n"/>
      <c r="B81" s="11" t="n"/>
      <c r="C81" s="12" t="n"/>
      <c r="D81" s="12" t="n"/>
      <c r="E81" s="13" t="n"/>
      <c r="F81" s="13" t="n"/>
      <c r="G81" s="13" t="n"/>
      <c r="H81" s="13" t="n"/>
      <c r="I81" s="12" t="n"/>
      <c r="J81" s="12" t="n"/>
      <c r="K81" s="11" t="n"/>
      <c r="L81" s="12" t="n"/>
      <c r="M81" s="11" t="n"/>
      <c r="N81" s="14">
        <f>IF(A81="","",IF(M81&lt;&gt;"",M81-B81,TODAY()-B81))</f>
        <v/>
      </c>
      <c r="O81" s="14">
        <f>IF(A81="","",IF(AND(M81="",TODAY()&gt;K81),"OVERDUE",IF(AND(M81&lt;&gt;"",M81&gt;K81),"CLOSED LATE","")))</f>
        <v/>
      </c>
      <c r="P81" s="13" t="n"/>
      <c r="Q81" s="12" t="n"/>
      <c r="R81" s="12" t="n"/>
      <c r="S81" s="12" t="n"/>
      <c r="T81" s="13" t="n"/>
    </row>
    <row r="82">
      <c r="A82" s="10" t="n"/>
      <c r="B82" s="11" t="n"/>
      <c r="C82" s="12" t="n"/>
      <c r="D82" s="12" t="n"/>
      <c r="E82" s="13" t="n"/>
      <c r="F82" s="13" t="n"/>
      <c r="G82" s="13" t="n"/>
      <c r="H82" s="13" t="n"/>
      <c r="I82" s="12" t="n"/>
      <c r="J82" s="12" t="n"/>
      <c r="K82" s="11" t="n"/>
      <c r="L82" s="12" t="n"/>
      <c r="M82" s="11" t="n"/>
      <c r="N82" s="14">
        <f>IF(A82="","",IF(M82&lt;&gt;"",M82-B82,TODAY()-B82))</f>
        <v/>
      </c>
      <c r="O82" s="14">
        <f>IF(A82="","",IF(AND(M82="",TODAY()&gt;K82),"OVERDUE",IF(AND(M82&lt;&gt;"",M82&gt;K82),"CLOSED LATE","")))</f>
        <v/>
      </c>
      <c r="P82" s="13" t="n"/>
      <c r="Q82" s="12" t="n"/>
      <c r="R82" s="12" t="n"/>
      <c r="S82" s="12" t="n"/>
      <c r="T82" s="13" t="n"/>
    </row>
    <row r="83">
      <c r="A83" s="10" t="n"/>
      <c r="B83" s="11" t="n"/>
      <c r="C83" s="12" t="n"/>
      <c r="D83" s="12" t="n"/>
      <c r="E83" s="13" t="n"/>
      <c r="F83" s="13" t="n"/>
      <c r="G83" s="13" t="n"/>
      <c r="H83" s="13" t="n"/>
      <c r="I83" s="12" t="n"/>
      <c r="J83" s="12" t="n"/>
      <c r="K83" s="11" t="n"/>
      <c r="L83" s="12" t="n"/>
      <c r="M83" s="11" t="n"/>
      <c r="N83" s="14">
        <f>IF(A83="","",IF(M83&lt;&gt;"",M83-B83,TODAY()-B83))</f>
        <v/>
      </c>
      <c r="O83" s="14">
        <f>IF(A83="","",IF(AND(M83="",TODAY()&gt;K83),"OVERDUE",IF(AND(M83&lt;&gt;"",M83&gt;K83),"CLOSED LATE","")))</f>
        <v/>
      </c>
      <c r="P83" s="13" t="n"/>
      <c r="Q83" s="12" t="n"/>
      <c r="R83" s="12" t="n"/>
      <c r="S83" s="12" t="n"/>
      <c r="T83" s="13" t="n"/>
    </row>
    <row r="84">
      <c r="A84" s="10" t="n"/>
      <c r="B84" s="11" t="n"/>
      <c r="C84" s="12" t="n"/>
      <c r="D84" s="12" t="n"/>
      <c r="E84" s="13" t="n"/>
      <c r="F84" s="13" t="n"/>
      <c r="G84" s="13" t="n"/>
      <c r="H84" s="13" t="n"/>
      <c r="I84" s="12" t="n"/>
      <c r="J84" s="12" t="n"/>
      <c r="K84" s="11" t="n"/>
      <c r="L84" s="12" t="n"/>
      <c r="M84" s="11" t="n"/>
      <c r="N84" s="14">
        <f>IF(A84="","",IF(M84&lt;&gt;"",M84-B84,TODAY()-B84))</f>
        <v/>
      </c>
      <c r="O84" s="14">
        <f>IF(A84="","",IF(AND(M84="",TODAY()&gt;K84),"OVERDUE",IF(AND(M84&lt;&gt;"",M84&gt;K84),"CLOSED LATE","")))</f>
        <v/>
      </c>
      <c r="P84" s="13" t="n"/>
      <c r="Q84" s="12" t="n"/>
      <c r="R84" s="12" t="n"/>
      <c r="S84" s="12" t="n"/>
      <c r="T84" s="13" t="n"/>
    </row>
    <row r="85">
      <c r="A85" s="10" t="n"/>
      <c r="B85" s="11" t="n"/>
      <c r="C85" s="12" t="n"/>
      <c r="D85" s="12" t="n"/>
      <c r="E85" s="13" t="n"/>
      <c r="F85" s="13" t="n"/>
      <c r="G85" s="13" t="n"/>
      <c r="H85" s="13" t="n"/>
      <c r="I85" s="12" t="n"/>
      <c r="J85" s="12" t="n"/>
      <c r="K85" s="11" t="n"/>
      <c r="L85" s="12" t="n"/>
      <c r="M85" s="11" t="n"/>
      <c r="N85" s="14">
        <f>IF(A85="","",IF(M85&lt;&gt;"",M85-B85,TODAY()-B85))</f>
        <v/>
      </c>
      <c r="O85" s="14">
        <f>IF(A85="","",IF(AND(M85="",TODAY()&gt;K85),"OVERDUE",IF(AND(M85&lt;&gt;"",M85&gt;K85),"CLOSED LATE","")))</f>
        <v/>
      </c>
      <c r="P85" s="13" t="n"/>
      <c r="Q85" s="12" t="n"/>
      <c r="R85" s="12" t="n"/>
      <c r="S85" s="12" t="n"/>
      <c r="T85" s="13" t="n"/>
    </row>
    <row r="86">
      <c r="A86" s="10" t="n"/>
      <c r="B86" s="11" t="n"/>
      <c r="C86" s="12" t="n"/>
      <c r="D86" s="12" t="n"/>
      <c r="E86" s="13" t="n"/>
      <c r="F86" s="13" t="n"/>
      <c r="G86" s="13" t="n"/>
      <c r="H86" s="13" t="n"/>
      <c r="I86" s="12" t="n"/>
      <c r="J86" s="12" t="n"/>
      <c r="K86" s="11" t="n"/>
      <c r="L86" s="12" t="n"/>
      <c r="M86" s="11" t="n"/>
      <c r="N86" s="14">
        <f>IF(A86="","",IF(M86&lt;&gt;"",M86-B86,TODAY()-B86))</f>
        <v/>
      </c>
      <c r="O86" s="14">
        <f>IF(A86="","",IF(AND(M86="",TODAY()&gt;K86),"OVERDUE",IF(AND(M86&lt;&gt;"",M86&gt;K86),"CLOSED LATE","")))</f>
        <v/>
      </c>
      <c r="P86" s="13" t="n"/>
      <c r="Q86" s="12" t="n"/>
      <c r="R86" s="12" t="n"/>
      <c r="S86" s="12" t="n"/>
      <c r="T86" s="13" t="n"/>
    </row>
    <row r="87">
      <c r="A87" s="10" t="n"/>
      <c r="B87" s="11" t="n"/>
      <c r="C87" s="12" t="n"/>
      <c r="D87" s="12" t="n"/>
      <c r="E87" s="13" t="n"/>
      <c r="F87" s="13" t="n"/>
      <c r="G87" s="13" t="n"/>
      <c r="H87" s="13" t="n"/>
      <c r="I87" s="12" t="n"/>
      <c r="J87" s="12" t="n"/>
      <c r="K87" s="11" t="n"/>
      <c r="L87" s="12" t="n"/>
      <c r="M87" s="11" t="n"/>
      <c r="N87" s="14">
        <f>IF(A87="","",IF(M87&lt;&gt;"",M87-B87,TODAY()-B87))</f>
        <v/>
      </c>
      <c r="O87" s="14">
        <f>IF(A87="","",IF(AND(M87="",TODAY()&gt;K87),"OVERDUE",IF(AND(M87&lt;&gt;"",M87&gt;K87),"CLOSED LATE","")))</f>
        <v/>
      </c>
      <c r="P87" s="13" t="n"/>
      <c r="Q87" s="12" t="n"/>
      <c r="R87" s="12" t="n"/>
      <c r="S87" s="12" t="n"/>
      <c r="T87" s="13" t="n"/>
    </row>
    <row r="88">
      <c r="A88" s="10" t="n"/>
      <c r="B88" s="11" t="n"/>
      <c r="C88" s="12" t="n"/>
      <c r="D88" s="12" t="n"/>
      <c r="E88" s="13" t="n"/>
      <c r="F88" s="13" t="n"/>
      <c r="G88" s="13" t="n"/>
      <c r="H88" s="13" t="n"/>
      <c r="I88" s="12" t="n"/>
      <c r="J88" s="12" t="n"/>
      <c r="K88" s="11" t="n"/>
      <c r="L88" s="12" t="n"/>
      <c r="M88" s="11" t="n"/>
      <c r="N88" s="14">
        <f>IF(A88="","",IF(M88&lt;&gt;"",M88-B88,TODAY()-B88))</f>
        <v/>
      </c>
      <c r="O88" s="14">
        <f>IF(A88="","",IF(AND(M88="",TODAY()&gt;K88),"OVERDUE",IF(AND(M88&lt;&gt;"",M88&gt;K88),"CLOSED LATE","")))</f>
        <v/>
      </c>
      <c r="P88" s="13" t="n"/>
      <c r="Q88" s="12" t="n"/>
      <c r="R88" s="12" t="n"/>
      <c r="S88" s="12" t="n"/>
      <c r="T88" s="13" t="n"/>
    </row>
    <row r="89">
      <c r="A89" s="10" t="n"/>
      <c r="B89" s="11" t="n"/>
      <c r="C89" s="12" t="n"/>
      <c r="D89" s="12" t="n"/>
      <c r="E89" s="13" t="n"/>
      <c r="F89" s="13" t="n"/>
      <c r="G89" s="13" t="n"/>
      <c r="H89" s="13" t="n"/>
      <c r="I89" s="12" t="n"/>
      <c r="J89" s="12" t="n"/>
      <c r="K89" s="11" t="n"/>
      <c r="L89" s="12" t="n"/>
      <c r="M89" s="11" t="n"/>
      <c r="N89" s="14">
        <f>IF(A89="","",IF(M89&lt;&gt;"",M89-B89,TODAY()-B89))</f>
        <v/>
      </c>
      <c r="O89" s="14">
        <f>IF(A89="","",IF(AND(M89="",TODAY()&gt;K89),"OVERDUE",IF(AND(M89&lt;&gt;"",M89&gt;K89),"CLOSED LATE","")))</f>
        <v/>
      </c>
      <c r="P89" s="13" t="n"/>
      <c r="Q89" s="12" t="n"/>
      <c r="R89" s="12" t="n"/>
      <c r="S89" s="12" t="n"/>
      <c r="T89" s="13" t="n"/>
    </row>
    <row r="90">
      <c r="A90" s="10" t="n"/>
      <c r="B90" s="11" t="n"/>
      <c r="C90" s="12" t="n"/>
      <c r="D90" s="12" t="n"/>
      <c r="E90" s="13" t="n"/>
      <c r="F90" s="13" t="n"/>
      <c r="G90" s="13" t="n"/>
      <c r="H90" s="13" t="n"/>
      <c r="I90" s="12" t="n"/>
      <c r="J90" s="12" t="n"/>
      <c r="K90" s="11" t="n"/>
      <c r="L90" s="12" t="n"/>
      <c r="M90" s="11" t="n"/>
      <c r="N90" s="14">
        <f>IF(A90="","",IF(M90&lt;&gt;"",M90-B90,TODAY()-B90))</f>
        <v/>
      </c>
      <c r="O90" s="14">
        <f>IF(A90="","",IF(AND(M90="",TODAY()&gt;K90),"OVERDUE",IF(AND(M90&lt;&gt;"",M90&gt;K90),"CLOSED LATE","")))</f>
        <v/>
      </c>
      <c r="P90" s="13" t="n"/>
      <c r="Q90" s="12" t="n"/>
      <c r="R90" s="12" t="n"/>
      <c r="S90" s="12" t="n"/>
      <c r="T90" s="13" t="n"/>
    </row>
    <row r="91">
      <c r="A91" s="10" t="n"/>
      <c r="B91" s="11" t="n"/>
      <c r="C91" s="12" t="n"/>
      <c r="D91" s="12" t="n"/>
      <c r="E91" s="13" t="n"/>
      <c r="F91" s="13" t="n"/>
      <c r="G91" s="13" t="n"/>
      <c r="H91" s="13" t="n"/>
      <c r="I91" s="12" t="n"/>
      <c r="J91" s="12" t="n"/>
      <c r="K91" s="11" t="n"/>
      <c r="L91" s="12" t="n"/>
      <c r="M91" s="11" t="n"/>
      <c r="N91" s="14">
        <f>IF(A91="","",IF(M91&lt;&gt;"",M91-B91,TODAY()-B91))</f>
        <v/>
      </c>
      <c r="O91" s="14">
        <f>IF(A91="","",IF(AND(M91="",TODAY()&gt;K91),"OVERDUE",IF(AND(M91&lt;&gt;"",M91&gt;K91),"CLOSED LATE","")))</f>
        <v/>
      </c>
      <c r="P91" s="13" t="n"/>
      <c r="Q91" s="12" t="n"/>
      <c r="R91" s="12" t="n"/>
      <c r="S91" s="12" t="n"/>
      <c r="T91" s="13" t="n"/>
    </row>
    <row r="92">
      <c r="A92" s="10" t="n"/>
      <c r="B92" s="11" t="n"/>
      <c r="C92" s="12" t="n"/>
      <c r="D92" s="12" t="n"/>
      <c r="E92" s="13" t="n"/>
      <c r="F92" s="13" t="n"/>
      <c r="G92" s="13" t="n"/>
      <c r="H92" s="13" t="n"/>
      <c r="I92" s="12" t="n"/>
      <c r="J92" s="12" t="n"/>
      <c r="K92" s="11" t="n"/>
      <c r="L92" s="12" t="n"/>
      <c r="M92" s="11" t="n"/>
      <c r="N92" s="14">
        <f>IF(A92="","",IF(M92&lt;&gt;"",M92-B92,TODAY()-B92))</f>
        <v/>
      </c>
      <c r="O92" s="14">
        <f>IF(A92="","",IF(AND(M92="",TODAY()&gt;K92),"OVERDUE",IF(AND(M92&lt;&gt;"",M92&gt;K92),"CLOSED LATE","")))</f>
        <v/>
      </c>
      <c r="P92" s="13" t="n"/>
      <c r="Q92" s="12" t="n"/>
      <c r="R92" s="12" t="n"/>
      <c r="S92" s="12" t="n"/>
      <c r="T92" s="13" t="n"/>
    </row>
    <row r="93">
      <c r="A93" s="10" t="n"/>
      <c r="B93" s="11" t="n"/>
      <c r="C93" s="12" t="n"/>
      <c r="D93" s="12" t="n"/>
      <c r="E93" s="13" t="n"/>
      <c r="F93" s="13" t="n"/>
      <c r="G93" s="13" t="n"/>
      <c r="H93" s="13" t="n"/>
      <c r="I93" s="12" t="n"/>
      <c r="J93" s="12" t="n"/>
      <c r="K93" s="11" t="n"/>
      <c r="L93" s="12" t="n"/>
      <c r="M93" s="11" t="n"/>
      <c r="N93" s="14">
        <f>IF(A93="","",IF(M93&lt;&gt;"",M93-B93,TODAY()-B93))</f>
        <v/>
      </c>
      <c r="O93" s="14">
        <f>IF(A93="","",IF(AND(M93="",TODAY()&gt;K93),"OVERDUE",IF(AND(M93&lt;&gt;"",M93&gt;K93),"CLOSED LATE","")))</f>
        <v/>
      </c>
      <c r="P93" s="13" t="n"/>
      <c r="Q93" s="12" t="n"/>
      <c r="R93" s="12" t="n"/>
      <c r="S93" s="12" t="n"/>
      <c r="T93" s="13" t="n"/>
    </row>
    <row r="94">
      <c r="A94" s="10" t="n"/>
      <c r="B94" s="11" t="n"/>
      <c r="C94" s="12" t="n"/>
      <c r="D94" s="12" t="n"/>
      <c r="E94" s="13" t="n"/>
      <c r="F94" s="13" t="n"/>
      <c r="G94" s="13" t="n"/>
      <c r="H94" s="13" t="n"/>
      <c r="I94" s="12" t="n"/>
      <c r="J94" s="12" t="n"/>
      <c r="K94" s="11" t="n"/>
      <c r="L94" s="12" t="n"/>
      <c r="M94" s="11" t="n"/>
      <c r="N94" s="14">
        <f>IF(A94="","",IF(M94&lt;&gt;"",M94-B94,TODAY()-B94))</f>
        <v/>
      </c>
      <c r="O94" s="14">
        <f>IF(A94="","",IF(AND(M94="",TODAY()&gt;K94),"OVERDUE",IF(AND(M94&lt;&gt;"",M94&gt;K94),"CLOSED LATE","")))</f>
        <v/>
      </c>
      <c r="P94" s="13" t="n"/>
      <c r="Q94" s="12" t="n"/>
      <c r="R94" s="12" t="n"/>
      <c r="S94" s="12" t="n"/>
      <c r="T94" s="13" t="n"/>
    </row>
    <row r="95">
      <c r="A95" s="10" t="n"/>
      <c r="B95" s="11" t="n"/>
      <c r="C95" s="12" t="n"/>
      <c r="D95" s="12" t="n"/>
      <c r="E95" s="13" t="n"/>
      <c r="F95" s="13" t="n"/>
      <c r="G95" s="13" t="n"/>
      <c r="H95" s="13" t="n"/>
      <c r="I95" s="12" t="n"/>
      <c r="J95" s="12" t="n"/>
      <c r="K95" s="11" t="n"/>
      <c r="L95" s="12" t="n"/>
      <c r="M95" s="11" t="n"/>
      <c r="N95" s="14">
        <f>IF(A95="","",IF(M95&lt;&gt;"",M95-B95,TODAY()-B95))</f>
        <v/>
      </c>
      <c r="O95" s="14">
        <f>IF(A95="","",IF(AND(M95="",TODAY()&gt;K95),"OVERDUE",IF(AND(M95&lt;&gt;"",M95&gt;K95),"CLOSED LATE","")))</f>
        <v/>
      </c>
      <c r="P95" s="13" t="n"/>
      <c r="Q95" s="12" t="n"/>
      <c r="R95" s="12" t="n"/>
      <c r="S95" s="12" t="n"/>
      <c r="T95" s="13" t="n"/>
    </row>
    <row r="96">
      <c r="A96" s="10" t="n"/>
      <c r="B96" s="11" t="n"/>
      <c r="C96" s="12" t="n"/>
      <c r="D96" s="12" t="n"/>
      <c r="E96" s="13" t="n"/>
      <c r="F96" s="13" t="n"/>
      <c r="G96" s="13" t="n"/>
      <c r="H96" s="13" t="n"/>
      <c r="I96" s="12" t="n"/>
      <c r="J96" s="12" t="n"/>
      <c r="K96" s="11" t="n"/>
      <c r="L96" s="12" t="n"/>
      <c r="M96" s="11" t="n"/>
      <c r="N96" s="14">
        <f>IF(A96="","",IF(M96&lt;&gt;"",M96-B96,TODAY()-B96))</f>
        <v/>
      </c>
      <c r="O96" s="14">
        <f>IF(A96="","",IF(AND(M96="",TODAY()&gt;K96),"OVERDUE",IF(AND(M96&lt;&gt;"",M96&gt;K96),"CLOSED LATE","")))</f>
        <v/>
      </c>
      <c r="P96" s="13" t="n"/>
      <c r="Q96" s="12" t="n"/>
      <c r="R96" s="12" t="n"/>
      <c r="S96" s="12" t="n"/>
      <c r="T96" s="13" t="n"/>
    </row>
    <row r="97">
      <c r="A97" s="10" t="n"/>
      <c r="B97" s="11" t="n"/>
      <c r="C97" s="12" t="n"/>
      <c r="D97" s="12" t="n"/>
      <c r="E97" s="13" t="n"/>
      <c r="F97" s="13" t="n"/>
      <c r="G97" s="13" t="n"/>
      <c r="H97" s="13" t="n"/>
      <c r="I97" s="12" t="n"/>
      <c r="J97" s="12" t="n"/>
      <c r="K97" s="11" t="n"/>
      <c r="L97" s="12" t="n"/>
      <c r="M97" s="11" t="n"/>
      <c r="N97" s="14">
        <f>IF(A97="","",IF(M97&lt;&gt;"",M97-B97,TODAY()-B97))</f>
        <v/>
      </c>
      <c r="O97" s="14">
        <f>IF(A97="","",IF(AND(M97="",TODAY()&gt;K97),"OVERDUE",IF(AND(M97&lt;&gt;"",M97&gt;K97),"CLOSED LATE","")))</f>
        <v/>
      </c>
      <c r="P97" s="13" t="n"/>
      <c r="Q97" s="12" t="n"/>
      <c r="R97" s="12" t="n"/>
      <c r="S97" s="12" t="n"/>
      <c r="T97" s="13" t="n"/>
    </row>
    <row r="98">
      <c r="A98" s="10" t="n"/>
      <c r="B98" s="11" t="n"/>
      <c r="C98" s="12" t="n"/>
      <c r="D98" s="12" t="n"/>
      <c r="E98" s="13" t="n"/>
      <c r="F98" s="13" t="n"/>
      <c r="G98" s="13" t="n"/>
      <c r="H98" s="13" t="n"/>
      <c r="I98" s="12" t="n"/>
      <c r="J98" s="12" t="n"/>
      <c r="K98" s="11" t="n"/>
      <c r="L98" s="12" t="n"/>
      <c r="M98" s="11" t="n"/>
      <c r="N98" s="14">
        <f>IF(A98="","",IF(M98&lt;&gt;"",M98-B98,TODAY()-B98))</f>
        <v/>
      </c>
      <c r="O98" s="14">
        <f>IF(A98="","",IF(AND(M98="",TODAY()&gt;K98),"OVERDUE",IF(AND(M98&lt;&gt;"",M98&gt;K98),"CLOSED LATE","")))</f>
        <v/>
      </c>
      <c r="P98" s="13" t="n"/>
      <c r="Q98" s="12" t="n"/>
      <c r="R98" s="12" t="n"/>
      <c r="S98" s="12" t="n"/>
      <c r="T98" s="13" t="n"/>
    </row>
    <row r="99">
      <c r="A99" s="10" t="n"/>
      <c r="B99" s="11" t="n"/>
      <c r="C99" s="12" t="n"/>
      <c r="D99" s="12" t="n"/>
      <c r="E99" s="13" t="n"/>
      <c r="F99" s="13" t="n"/>
      <c r="G99" s="13" t="n"/>
      <c r="H99" s="13" t="n"/>
      <c r="I99" s="12" t="n"/>
      <c r="J99" s="12" t="n"/>
      <c r="K99" s="11" t="n"/>
      <c r="L99" s="12" t="n"/>
      <c r="M99" s="11" t="n"/>
      <c r="N99" s="14">
        <f>IF(A99="","",IF(M99&lt;&gt;"",M99-B99,TODAY()-B99))</f>
        <v/>
      </c>
      <c r="O99" s="14">
        <f>IF(A99="","",IF(AND(M99="",TODAY()&gt;K99),"OVERDUE",IF(AND(M99&lt;&gt;"",M99&gt;K99),"CLOSED LATE","")))</f>
        <v/>
      </c>
      <c r="P99" s="13" t="n"/>
      <c r="Q99" s="12" t="n"/>
      <c r="R99" s="12" t="n"/>
      <c r="S99" s="12" t="n"/>
      <c r="T99" s="13" t="n"/>
    </row>
    <row r="100">
      <c r="A100" s="10" t="n"/>
      <c r="B100" s="11" t="n"/>
      <c r="C100" s="12" t="n"/>
      <c r="D100" s="12" t="n"/>
      <c r="E100" s="13" t="n"/>
      <c r="F100" s="13" t="n"/>
      <c r="G100" s="13" t="n"/>
      <c r="H100" s="13" t="n"/>
      <c r="I100" s="12" t="n"/>
      <c r="J100" s="12" t="n"/>
      <c r="K100" s="11" t="n"/>
      <c r="L100" s="12" t="n"/>
      <c r="M100" s="11" t="n"/>
      <c r="N100" s="14">
        <f>IF(A100="","",IF(M100&lt;&gt;"",M100-B100,TODAY()-B100))</f>
        <v/>
      </c>
      <c r="O100" s="14">
        <f>IF(A100="","",IF(AND(M100="",TODAY()&gt;K100),"OVERDUE",IF(AND(M100&lt;&gt;"",M100&gt;K100),"CLOSED LATE","")))</f>
        <v/>
      </c>
      <c r="P100" s="13" t="n"/>
      <c r="Q100" s="12" t="n"/>
      <c r="R100" s="12" t="n"/>
      <c r="S100" s="12" t="n"/>
      <c r="T100" s="13" t="n"/>
    </row>
    <row r="101">
      <c r="A101" s="10" t="n"/>
      <c r="B101" s="11" t="n"/>
      <c r="C101" s="12" t="n"/>
      <c r="D101" s="12" t="n"/>
      <c r="E101" s="13" t="n"/>
      <c r="F101" s="13" t="n"/>
      <c r="G101" s="13" t="n"/>
      <c r="H101" s="13" t="n"/>
      <c r="I101" s="12" t="n"/>
      <c r="J101" s="12" t="n"/>
      <c r="K101" s="11" t="n"/>
      <c r="L101" s="12" t="n"/>
      <c r="M101" s="11" t="n"/>
      <c r="N101" s="14">
        <f>IF(A101="","",IF(M101&lt;&gt;"",M101-B101,TODAY()-B101))</f>
        <v/>
      </c>
      <c r="O101" s="14">
        <f>IF(A101="","",IF(AND(M101="",TODAY()&gt;K101),"OVERDUE",IF(AND(M101&lt;&gt;"",M101&gt;K101),"CLOSED LATE","")))</f>
        <v/>
      </c>
      <c r="P101" s="13" t="n"/>
      <c r="Q101" s="12" t="n"/>
      <c r="R101" s="12" t="n"/>
      <c r="S101" s="12" t="n"/>
      <c r="T101" s="13" t="n"/>
    </row>
    <row r="102">
      <c r="A102" s="10" t="n"/>
      <c r="B102" s="11" t="n"/>
      <c r="C102" s="12" t="n"/>
      <c r="D102" s="12" t="n"/>
      <c r="E102" s="13" t="n"/>
      <c r="F102" s="13" t="n"/>
      <c r="G102" s="13" t="n"/>
      <c r="H102" s="13" t="n"/>
      <c r="I102" s="12" t="n"/>
      <c r="J102" s="12" t="n"/>
      <c r="K102" s="11" t="n"/>
      <c r="L102" s="12" t="n"/>
      <c r="M102" s="11" t="n"/>
      <c r="N102" s="14">
        <f>IF(A102="","",IF(M102&lt;&gt;"",M102-B102,TODAY()-B102))</f>
        <v/>
      </c>
      <c r="O102" s="14">
        <f>IF(A102="","",IF(AND(M102="",TODAY()&gt;K102),"OVERDUE",IF(AND(M102&lt;&gt;"",M102&gt;K102),"CLOSED LATE","")))</f>
        <v/>
      </c>
      <c r="P102" s="13" t="n"/>
      <c r="Q102" s="12" t="n"/>
      <c r="R102" s="12" t="n"/>
      <c r="S102" s="12" t="n"/>
      <c r="T102" s="13" t="n"/>
    </row>
    <row r="103">
      <c r="A103" s="10" t="n"/>
      <c r="B103" s="11" t="n"/>
      <c r="C103" s="12" t="n"/>
      <c r="D103" s="12" t="n"/>
      <c r="E103" s="13" t="n"/>
      <c r="F103" s="13" t="n"/>
      <c r="G103" s="13" t="n"/>
      <c r="H103" s="13" t="n"/>
      <c r="I103" s="12" t="n"/>
      <c r="J103" s="12" t="n"/>
      <c r="K103" s="11" t="n"/>
      <c r="L103" s="12" t="n"/>
      <c r="M103" s="11" t="n"/>
      <c r="N103" s="14">
        <f>IF(A103="","",IF(M103&lt;&gt;"",M103-B103,TODAY()-B103))</f>
        <v/>
      </c>
      <c r="O103" s="14">
        <f>IF(A103="","",IF(AND(M103="",TODAY()&gt;K103),"OVERDUE",IF(AND(M103&lt;&gt;"",M103&gt;K103),"CLOSED LATE","")))</f>
        <v/>
      </c>
      <c r="P103" s="13" t="n"/>
      <c r="Q103" s="12" t="n"/>
      <c r="R103" s="12" t="n"/>
      <c r="S103" s="12" t="n"/>
      <c r="T103" s="13" t="n"/>
    </row>
    <row r="104">
      <c r="A104" s="10" t="n"/>
      <c r="B104" s="11" t="n"/>
      <c r="C104" s="12" t="n"/>
      <c r="D104" s="12" t="n"/>
      <c r="E104" s="13" t="n"/>
      <c r="F104" s="13" t="n"/>
      <c r="G104" s="13" t="n"/>
      <c r="H104" s="13" t="n"/>
      <c r="I104" s="12" t="n"/>
      <c r="J104" s="12" t="n"/>
      <c r="K104" s="11" t="n"/>
      <c r="L104" s="12" t="n"/>
      <c r="M104" s="11" t="n"/>
      <c r="N104" s="14">
        <f>IF(A104="","",IF(M104&lt;&gt;"",M104-B104,TODAY()-B104))</f>
        <v/>
      </c>
      <c r="O104" s="14">
        <f>IF(A104="","",IF(AND(M104="",TODAY()&gt;K104),"OVERDUE",IF(AND(M104&lt;&gt;"",M104&gt;K104),"CLOSED LATE","")))</f>
        <v/>
      </c>
      <c r="P104" s="13" t="n"/>
      <c r="Q104" s="12" t="n"/>
      <c r="R104" s="12" t="n"/>
      <c r="S104" s="12" t="n"/>
      <c r="T104" s="13" t="n"/>
    </row>
    <row r="105">
      <c r="A105" s="10" t="n"/>
      <c r="B105" s="11" t="n"/>
      <c r="C105" s="12" t="n"/>
      <c r="D105" s="12" t="n"/>
      <c r="E105" s="13" t="n"/>
      <c r="F105" s="13" t="n"/>
      <c r="G105" s="13" t="n"/>
      <c r="H105" s="13" t="n"/>
      <c r="I105" s="12" t="n"/>
      <c r="J105" s="12" t="n"/>
      <c r="K105" s="11" t="n"/>
      <c r="L105" s="12" t="n"/>
      <c r="M105" s="11" t="n"/>
      <c r="N105" s="14">
        <f>IF(A105="","",IF(M105&lt;&gt;"",M105-B105,TODAY()-B105))</f>
        <v/>
      </c>
      <c r="O105" s="14">
        <f>IF(A105="","",IF(AND(M105="",TODAY()&gt;K105),"OVERDUE",IF(AND(M105&lt;&gt;"",M105&gt;K105),"CLOSED LATE","")))</f>
        <v/>
      </c>
      <c r="P105" s="13" t="n"/>
      <c r="Q105" s="12" t="n"/>
      <c r="R105" s="12" t="n"/>
      <c r="S105" s="12" t="n"/>
      <c r="T105" s="13" t="n"/>
    </row>
    <row r="106">
      <c r="A106" s="10" t="n"/>
      <c r="B106" s="11" t="n"/>
      <c r="C106" s="12" t="n"/>
      <c r="D106" s="12" t="n"/>
      <c r="E106" s="13" t="n"/>
      <c r="F106" s="13" t="n"/>
      <c r="G106" s="13" t="n"/>
      <c r="H106" s="13" t="n"/>
      <c r="I106" s="12" t="n"/>
      <c r="J106" s="12" t="n"/>
      <c r="K106" s="11" t="n"/>
      <c r="L106" s="12" t="n"/>
      <c r="M106" s="11" t="n"/>
      <c r="N106" s="14">
        <f>IF(A106="","",IF(M106&lt;&gt;"",M106-B106,TODAY()-B106))</f>
        <v/>
      </c>
      <c r="O106" s="14">
        <f>IF(A106="","",IF(AND(M106="",TODAY()&gt;K106),"OVERDUE",IF(AND(M106&lt;&gt;"",M106&gt;K106),"CLOSED LATE","")))</f>
        <v/>
      </c>
      <c r="P106" s="13" t="n"/>
      <c r="Q106" s="12" t="n"/>
      <c r="R106" s="12" t="n"/>
      <c r="S106" s="12" t="n"/>
      <c r="T106" s="13" t="n"/>
    </row>
    <row r="107">
      <c r="A107" s="10" t="n"/>
      <c r="B107" s="11" t="n"/>
      <c r="C107" s="12" t="n"/>
      <c r="D107" s="12" t="n"/>
      <c r="E107" s="13" t="n"/>
      <c r="F107" s="13" t="n"/>
      <c r="G107" s="13" t="n"/>
      <c r="H107" s="13" t="n"/>
      <c r="I107" s="12" t="n"/>
      <c r="J107" s="12" t="n"/>
      <c r="K107" s="11" t="n"/>
      <c r="L107" s="12" t="n"/>
      <c r="M107" s="11" t="n"/>
      <c r="N107" s="14">
        <f>IF(A107="","",IF(M107&lt;&gt;"",M107-B107,TODAY()-B107))</f>
        <v/>
      </c>
      <c r="O107" s="14">
        <f>IF(A107="","",IF(AND(M107="",TODAY()&gt;K107),"OVERDUE",IF(AND(M107&lt;&gt;"",M107&gt;K107),"CLOSED LATE","")))</f>
        <v/>
      </c>
      <c r="P107" s="13" t="n"/>
      <c r="Q107" s="12" t="n"/>
      <c r="R107" s="12" t="n"/>
      <c r="S107" s="12" t="n"/>
      <c r="T107" s="13" t="n"/>
    </row>
    <row r="108">
      <c r="A108" s="10" t="n"/>
      <c r="B108" s="11" t="n"/>
      <c r="C108" s="12" t="n"/>
      <c r="D108" s="12" t="n"/>
      <c r="E108" s="13" t="n"/>
      <c r="F108" s="13" t="n"/>
      <c r="G108" s="13" t="n"/>
      <c r="H108" s="13" t="n"/>
      <c r="I108" s="12" t="n"/>
      <c r="J108" s="12" t="n"/>
      <c r="K108" s="11" t="n"/>
      <c r="L108" s="12" t="n"/>
      <c r="M108" s="11" t="n"/>
      <c r="N108" s="14">
        <f>IF(A108="","",IF(M108&lt;&gt;"",M108-B108,TODAY()-B108))</f>
        <v/>
      </c>
      <c r="O108" s="14">
        <f>IF(A108="","",IF(AND(M108="",TODAY()&gt;K108),"OVERDUE",IF(AND(M108&lt;&gt;"",M108&gt;K108),"CLOSED LATE","")))</f>
        <v/>
      </c>
      <c r="P108" s="13" t="n"/>
      <c r="Q108" s="12" t="n"/>
      <c r="R108" s="12" t="n"/>
      <c r="S108" s="12" t="n"/>
      <c r="T108" s="13" t="n"/>
    </row>
    <row r="109">
      <c r="A109" s="10" t="n"/>
      <c r="B109" s="11" t="n"/>
      <c r="C109" s="12" t="n"/>
      <c r="D109" s="12" t="n"/>
      <c r="E109" s="13" t="n"/>
      <c r="F109" s="13" t="n"/>
      <c r="G109" s="13" t="n"/>
      <c r="H109" s="13" t="n"/>
      <c r="I109" s="12" t="n"/>
      <c r="J109" s="12" t="n"/>
      <c r="K109" s="11" t="n"/>
      <c r="L109" s="12" t="n"/>
      <c r="M109" s="11" t="n"/>
      <c r="N109" s="14">
        <f>IF(A109="","",IF(M109&lt;&gt;"",M109-B109,TODAY()-B109))</f>
        <v/>
      </c>
      <c r="O109" s="14">
        <f>IF(A109="","",IF(AND(M109="",TODAY()&gt;K109),"OVERDUE",IF(AND(M109&lt;&gt;"",M109&gt;K109),"CLOSED LATE","")))</f>
        <v/>
      </c>
      <c r="P109" s="13" t="n"/>
      <c r="Q109" s="12" t="n"/>
      <c r="R109" s="12" t="n"/>
      <c r="S109" s="12" t="n"/>
      <c r="T109" s="13" t="n"/>
    </row>
    <row r="110">
      <c r="A110" s="10" t="n"/>
      <c r="B110" s="11" t="n"/>
      <c r="C110" s="12" t="n"/>
      <c r="D110" s="12" t="n"/>
      <c r="E110" s="13" t="n"/>
      <c r="F110" s="13" t="n"/>
      <c r="G110" s="13" t="n"/>
      <c r="H110" s="13" t="n"/>
      <c r="I110" s="12" t="n"/>
      <c r="J110" s="12" t="n"/>
      <c r="K110" s="11" t="n"/>
      <c r="L110" s="12" t="n"/>
      <c r="M110" s="11" t="n"/>
      <c r="N110" s="14">
        <f>IF(A110="","",IF(M110&lt;&gt;"",M110-B110,TODAY()-B110))</f>
        <v/>
      </c>
      <c r="O110" s="14">
        <f>IF(A110="","",IF(AND(M110="",TODAY()&gt;K110),"OVERDUE",IF(AND(M110&lt;&gt;"",M110&gt;K110),"CLOSED LATE","")))</f>
        <v/>
      </c>
      <c r="P110" s="13" t="n"/>
      <c r="Q110" s="12" t="n"/>
      <c r="R110" s="12" t="n"/>
      <c r="S110" s="12" t="n"/>
      <c r="T110" s="13" t="n"/>
    </row>
    <row r="111">
      <c r="A111" s="10" t="n"/>
      <c r="B111" s="11" t="n"/>
      <c r="C111" s="12" t="n"/>
      <c r="D111" s="12" t="n"/>
      <c r="E111" s="13" t="n"/>
      <c r="F111" s="13" t="n"/>
      <c r="G111" s="13" t="n"/>
      <c r="H111" s="13" t="n"/>
      <c r="I111" s="12" t="n"/>
      <c r="J111" s="12" t="n"/>
      <c r="K111" s="11" t="n"/>
      <c r="L111" s="12" t="n"/>
      <c r="M111" s="11" t="n"/>
      <c r="N111" s="14">
        <f>IF(A111="","",IF(M111&lt;&gt;"",M111-B111,TODAY()-B111))</f>
        <v/>
      </c>
      <c r="O111" s="14">
        <f>IF(A111="","",IF(AND(M111="",TODAY()&gt;K111),"OVERDUE",IF(AND(M111&lt;&gt;"",M111&gt;K111),"CLOSED LATE","")))</f>
        <v/>
      </c>
      <c r="P111" s="13" t="n"/>
      <c r="Q111" s="12" t="n"/>
      <c r="R111" s="12" t="n"/>
      <c r="S111" s="12" t="n"/>
      <c r="T111" s="13" t="n"/>
    </row>
    <row r="112">
      <c r="A112" s="10" t="n"/>
      <c r="B112" s="11" t="n"/>
      <c r="C112" s="12" t="n"/>
      <c r="D112" s="12" t="n"/>
      <c r="E112" s="13" t="n"/>
      <c r="F112" s="13" t="n"/>
      <c r="G112" s="13" t="n"/>
      <c r="H112" s="13" t="n"/>
      <c r="I112" s="12" t="n"/>
      <c r="J112" s="12" t="n"/>
      <c r="K112" s="11" t="n"/>
      <c r="L112" s="12" t="n"/>
      <c r="M112" s="11" t="n"/>
      <c r="N112" s="14">
        <f>IF(A112="","",IF(M112&lt;&gt;"",M112-B112,TODAY()-B112))</f>
        <v/>
      </c>
      <c r="O112" s="14">
        <f>IF(A112="","",IF(AND(M112="",TODAY()&gt;K112),"OVERDUE",IF(AND(M112&lt;&gt;"",M112&gt;K112),"CLOSED LATE","")))</f>
        <v/>
      </c>
      <c r="P112" s="13" t="n"/>
      <c r="Q112" s="12" t="n"/>
      <c r="R112" s="12" t="n"/>
      <c r="S112" s="12" t="n"/>
      <c r="T112" s="13" t="n"/>
    </row>
    <row r="113">
      <c r="A113" s="10" t="n"/>
      <c r="B113" s="11" t="n"/>
      <c r="C113" s="12" t="n"/>
      <c r="D113" s="12" t="n"/>
      <c r="E113" s="13" t="n"/>
      <c r="F113" s="13" t="n"/>
      <c r="G113" s="13" t="n"/>
      <c r="H113" s="13" t="n"/>
      <c r="I113" s="12" t="n"/>
      <c r="J113" s="12" t="n"/>
      <c r="K113" s="11" t="n"/>
      <c r="L113" s="12" t="n"/>
      <c r="M113" s="11" t="n"/>
      <c r="N113" s="14">
        <f>IF(A113="","",IF(M113&lt;&gt;"",M113-B113,TODAY()-B113))</f>
        <v/>
      </c>
      <c r="O113" s="14">
        <f>IF(A113="","",IF(AND(M113="",TODAY()&gt;K113),"OVERDUE",IF(AND(M113&lt;&gt;"",M113&gt;K113),"CLOSED LATE","")))</f>
        <v/>
      </c>
      <c r="P113" s="13" t="n"/>
      <c r="Q113" s="12" t="n"/>
      <c r="R113" s="12" t="n"/>
      <c r="S113" s="12" t="n"/>
      <c r="T113" s="13" t="n"/>
    </row>
    <row r="114">
      <c r="A114" s="10" t="n"/>
      <c r="B114" s="11" t="n"/>
      <c r="C114" s="12" t="n"/>
      <c r="D114" s="12" t="n"/>
      <c r="E114" s="13" t="n"/>
      <c r="F114" s="13" t="n"/>
      <c r="G114" s="13" t="n"/>
      <c r="H114" s="13" t="n"/>
      <c r="I114" s="12" t="n"/>
      <c r="J114" s="12" t="n"/>
      <c r="K114" s="11" t="n"/>
      <c r="L114" s="12" t="n"/>
      <c r="M114" s="11" t="n"/>
      <c r="N114" s="14">
        <f>IF(A114="","",IF(M114&lt;&gt;"",M114-B114,TODAY()-B114))</f>
        <v/>
      </c>
      <c r="O114" s="14">
        <f>IF(A114="","",IF(AND(M114="",TODAY()&gt;K114),"OVERDUE",IF(AND(M114&lt;&gt;"",M114&gt;K114),"CLOSED LATE","")))</f>
        <v/>
      </c>
      <c r="P114" s="13" t="n"/>
      <c r="Q114" s="12" t="n"/>
      <c r="R114" s="12" t="n"/>
      <c r="S114" s="12" t="n"/>
      <c r="T114" s="13" t="n"/>
    </row>
    <row r="115">
      <c r="A115" s="10" t="n"/>
      <c r="B115" s="11" t="n"/>
      <c r="C115" s="12" t="n"/>
      <c r="D115" s="12" t="n"/>
      <c r="E115" s="13" t="n"/>
      <c r="F115" s="13" t="n"/>
      <c r="G115" s="13" t="n"/>
      <c r="H115" s="13" t="n"/>
      <c r="I115" s="12" t="n"/>
      <c r="J115" s="12" t="n"/>
      <c r="K115" s="11" t="n"/>
      <c r="L115" s="12" t="n"/>
      <c r="M115" s="11" t="n"/>
      <c r="N115" s="14">
        <f>IF(A115="","",IF(M115&lt;&gt;"",M115-B115,TODAY()-B115))</f>
        <v/>
      </c>
      <c r="O115" s="14">
        <f>IF(A115="","",IF(AND(M115="",TODAY()&gt;K115),"OVERDUE",IF(AND(M115&lt;&gt;"",M115&gt;K115),"CLOSED LATE","")))</f>
        <v/>
      </c>
      <c r="P115" s="13" t="n"/>
      <c r="Q115" s="12" t="n"/>
      <c r="R115" s="12" t="n"/>
      <c r="S115" s="12" t="n"/>
      <c r="T115" s="13" t="n"/>
    </row>
    <row r="116">
      <c r="A116" s="10" t="n"/>
      <c r="B116" s="11" t="n"/>
      <c r="C116" s="12" t="n"/>
      <c r="D116" s="12" t="n"/>
      <c r="E116" s="13" t="n"/>
      <c r="F116" s="13" t="n"/>
      <c r="G116" s="13" t="n"/>
      <c r="H116" s="13" t="n"/>
      <c r="I116" s="12" t="n"/>
      <c r="J116" s="12" t="n"/>
      <c r="K116" s="11" t="n"/>
      <c r="L116" s="12" t="n"/>
      <c r="M116" s="11" t="n"/>
      <c r="N116" s="14">
        <f>IF(A116="","",IF(M116&lt;&gt;"",M116-B116,TODAY()-B116))</f>
        <v/>
      </c>
      <c r="O116" s="14">
        <f>IF(A116="","",IF(AND(M116="",TODAY()&gt;K116),"OVERDUE",IF(AND(M116&lt;&gt;"",M116&gt;K116),"CLOSED LATE","")))</f>
        <v/>
      </c>
      <c r="P116" s="13" t="n"/>
      <c r="Q116" s="12" t="n"/>
      <c r="R116" s="12" t="n"/>
      <c r="S116" s="12" t="n"/>
      <c r="T116" s="13" t="n"/>
    </row>
    <row r="117">
      <c r="A117" s="10" t="n"/>
      <c r="B117" s="11" t="n"/>
      <c r="C117" s="12" t="n"/>
      <c r="D117" s="12" t="n"/>
      <c r="E117" s="13" t="n"/>
      <c r="F117" s="13" t="n"/>
      <c r="G117" s="13" t="n"/>
      <c r="H117" s="13" t="n"/>
      <c r="I117" s="12" t="n"/>
      <c r="J117" s="12" t="n"/>
      <c r="K117" s="11" t="n"/>
      <c r="L117" s="12" t="n"/>
      <c r="M117" s="11" t="n"/>
      <c r="N117" s="14">
        <f>IF(A117="","",IF(M117&lt;&gt;"",M117-B117,TODAY()-B117))</f>
        <v/>
      </c>
      <c r="O117" s="14">
        <f>IF(A117="","",IF(AND(M117="",TODAY()&gt;K117),"OVERDUE",IF(AND(M117&lt;&gt;"",M117&gt;K117),"CLOSED LATE","")))</f>
        <v/>
      </c>
      <c r="P117" s="13" t="n"/>
      <c r="Q117" s="12" t="n"/>
      <c r="R117" s="12" t="n"/>
      <c r="S117" s="12" t="n"/>
      <c r="T117" s="13" t="n"/>
    </row>
    <row r="118">
      <c r="A118" s="10" t="n"/>
      <c r="B118" s="11" t="n"/>
      <c r="C118" s="12" t="n"/>
      <c r="D118" s="12" t="n"/>
      <c r="E118" s="13" t="n"/>
      <c r="F118" s="13" t="n"/>
      <c r="G118" s="13" t="n"/>
      <c r="H118" s="13" t="n"/>
      <c r="I118" s="12" t="n"/>
      <c r="J118" s="12" t="n"/>
      <c r="K118" s="11" t="n"/>
      <c r="L118" s="12" t="n"/>
      <c r="M118" s="11" t="n"/>
      <c r="N118" s="14">
        <f>IF(A118="","",IF(M118&lt;&gt;"",M118-B118,TODAY()-B118))</f>
        <v/>
      </c>
      <c r="O118" s="14">
        <f>IF(A118="","",IF(AND(M118="",TODAY()&gt;K118),"OVERDUE",IF(AND(M118&lt;&gt;"",M118&gt;K118),"CLOSED LATE","")))</f>
        <v/>
      </c>
      <c r="P118" s="13" t="n"/>
      <c r="Q118" s="12" t="n"/>
      <c r="R118" s="12" t="n"/>
      <c r="S118" s="12" t="n"/>
      <c r="T118" s="13" t="n"/>
    </row>
    <row r="119">
      <c r="A119" s="10" t="n"/>
      <c r="B119" s="11" t="n"/>
      <c r="C119" s="12" t="n"/>
      <c r="D119" s="12" t="n"/>
      <c r="E119" s="13" t="n"/>
      <c r="F119" s="13" t="n"/>
      <c r="G119" s="13" t="n"/>
      <c r="H119" s="13" t="n"/>
      <c r="I119" s="12" t="n"/>
      <c r="J119" s="12" t="n"/>
      <c r="K119" s="11" t="n"/>
      <c r="L119" s="12" t="n"/>
      <c r="M119" s="11" t="n"/>
      <c r="N119" s="14">
        <f>IF(A119="","",IF(M119&lt;&gt;"",M119-B119,TODAY()-B119))</f>
        <v/>
      </c>
      <c r="O119" s="14">
        <f>IF(A119="","",IF(AND(M119="",TODAY()&gt;K119),"OVERDUE",IF(AND(M119&lt;&gt;"",M119&gt;K119),"CLOSED LATE","")))</f>
        <v/>
      </c>
      <c r="P119" s="13" t="n"/>
      <c r="Q119" s="12" t="n"/>
      <c r="R119" s="12" t="n"/>
      <c r="S119" s="12" t="n"/>
      <c r="T119" s="13" t="n"/>
    </row>
    <row r="120">
      <c r="A120" s="10" t="n"/>
      <c r="B120" s="11" t="n"/>
      <c r="C120" s="12" t="n"/>
      <c r="D120" s="12" t="n"/>
      <c r="E120" s="13" t="n"/>
      <c r="F120" s="13" t="n"/>
      <c r="G120" s="13" t="n"/>
      <c r="H120" s="13" t="n"/>
      <c r="I120" s="12" t="n"/>
      <c r="J120" s="12" t="n"/>
      <c r="K120" s="11" t="n"/>
      <c r="L120" s="12" t="n"/>
      <c r="M120" s="11" t="n"/>
      <c r="N120" s="14">
        <f>IF(A120="","",IF(M120&lt;&gt;"",M120-B120,TODAY()-B120))</f>
        <v/>
      </c>
      <c r="O120" s="14">
        <f>IF(A120="","",IF(AND(M120="",TODAY()&gt;K120),"OVERDUE",IF(AND(M120&lt;&gt;"",M120&gt;K120),"CLOSED LATE","")))</f>
        <v/>
      </c>
      <c r="P120" s="13" t="n"/>
      <c r="Q120" s="12" t="n"/>
      <c r="R120" s="12" t="n"/>
      <c r="S120" s="12" t="n"/>
      <c r="T120" s="13" t="n"/>
    </row>
    <row r="121">
      <c r="A121" s="10" t="n"/>
      <c r="B121" s="11" t="n"/>
      <c r="C121" s="12" t="n"/>
      <c r="D121" s="12" t="n"/>
      <c r="E121" s="13" t="n"/>
      <c r="F121" s="13" t="n"/>
      <c r="G121" s="13" t="n"/>
      <c r="H121" s="13" t="n"/>
      <c r="I121" s="12" t="n"/>
      <c r="J121" s="12" t="n"/>
      <c r="K121" s="11" t="n"/>
      <c r="L121" s="12" t="n"/>
      <c r="M121" s="11" t="n"/>
      <c r="N121" s="14">
        <f>IF(A121="","",IF(M121&lt;&gt;"",M121-B121,TODAY()-B121))</f>
        <v/>
      </c>
      <c r="O121" s="14">
        <f>IF(A121="","",IF(AND(M121="",TODAY()&gt;K121),"OVERDUE",IF(AND(M121&lt;&gt;"",M121&gt;K121),"CLOSED LATE","")))</f>
        <v/>
      </c>
      <c r="P121" s="13" t="n"/>
      <c r="Q121" s="12" t="n"/>
      <c r="R121" s="12" t="n"/>
      <c r="S121" s="12" t="n"/>
      <c r="T121" s="13" t="n"/>
    </row>
    <row r="122">
      <c r="A122" s="10" t="n"/>
      <c r="B122" s="11" t="n"/>
      <c r="C122" s="12" t="n"/>
      <c r="D122" s="12" t="n"/>
      <c r="E122" s="13" t="n"/>
      <c r="F122" s="13" t="n"/>
      <c r="G122" s="13" t="n"/>
      <c r="H122" s="13" t="n"/>
      <c r="I122" s="12" t="n"/>
      <c r="J122" s="12" t="n"/>
      <c r="K122" s="11" t="n"/>
      <c r="L122" s="12" t="n"/>
      <c r="M122" s="11" t="n"/>
      <c r="N122" s="14">
        <f>IF(A122="","",IF(M122&lt;&gt;"",M122-B122,TODAY()-B122))</f>
        <v/>
      </c>
      <c r="O122" s="14">
        <f>IF(A122="","",IF(AND(M122="",TODAY()&gt;K122),"OVERDUE",IF(AND(M122&lt;&gt;"",M122&gt;K122),"CLOSED LATE","")))</f>
        <v/>
      </c>
      <c r="P122" s="13" t="n"/>
      <c r="Q122" s="12" t="n"/>
      <c r="R122" s="12" t="n"/>
      <c r="S122" s="12" t="n"/>
      <c r="T122" s="13" t="n"/>
    </row>
    <row r="123">
      <c r="A123" s="10" t="n"/>
      <c r="B123" s="11" t="n"/>
      <c r="C123" s="12" t="n"/>
      <c r="D123" s="12" t="n"/>
      <c r="E123" s="13" t="n"/>
      <c r="F123" s="13" t="n"/>
      <c r="G123" s="13" t="n"/>
      <c r="H123" s="13" t="n"/>
      <c r="I123" s="12" t="n"/>
      <c r="J123" s="12" t="n"/>
      <c r="K123" s="11" t="n"/>
      <c r="L123" s="12" t="n"/>
      <c r="M123" s="11" t="n"/>
      <c r="N123" s="14">
        <f>IF(A123="","",IF(M123&lt;&gt;"",M123-B123,TODAY()-B123))</f>
        <v/>
      </c>
      <c r="O123" s="14">
        <f>IF(A123="","",IF(AND(M123="",TODAY()&gt;K123),"OVERDUE",IF(AND(M123&lt;&gt;"",M123&gt;K123),"CLOSED LATE","")))</f>
        <v/>
      </c>
      <c r="P123" s="13" t="n"/>
      <c r="Q123" s="12" t="n"/>
      <c r="R123" s="12" t="n"/>
      <c r="S123" s="12" t="n"/>
      <c r="T123" s="13" t="n"/>
    </row>
    <row r="124">
      <c r="A124" s="10" t="n"/>
      <c r="B124" s="11" t="n"/>
      <c r="C124" s="12" t="n"/>
      <c r="D124" s="12" t="n"/>
      <c r="E124" s="13" t="n"/>
      <c r="F124" s="13" t="n"/>
      <c r="G124" s="13" t="n"/>
      <c r="H124" s="13" t="n"/>
      <c r="I124" s="12" t="n"/>
      <c r="J124" s="12" t="n"/>
      <c r="K124" s="11" t="n"/>
      <c r="L124" s="12" t="n"/>
      <c r="M124" s="11" t="n"/>
      <c r="N124" s="14">
        <f>IF(A124="","",IF(M124&lt;&gt;"",M124-B124,TODAY()-B124))</f>
        <v/>
      </c>
      <c r="O124" s="14">
        <f>IF(A124="","",IF(AND(M124="",TODAY()&gt;K124),"OVERDUE",IF(AND(M124&lt;&gt;"",M124&gt;K124),"CLOSED LATE","")))</f>
        <v/>
      </c>
      <c r="P124" s="13" t="n"/>
      <c r="Q124" s="12" t="n"/>
      <c r="R124" s="12" t="n"/>
      <c r="S124" s="12" t="n"/>
      <c r="T124" s="13" t="n"/>
    </row>
    <row r="125">
      <c r="A125" s="10" t="n"/>
      <c r="B125" s="11" t="n"/>
      <c r="C125" s="12" t="n"/>
      <c r="D125" s="12" t="n"/>
      <c r="E125" s="13" t="n"/>
      <c r="F125" s="13" t="n"/>
      <c r="G125" s="13" t="n"/>
      <c r="H125" s="13" t="n"/>
      <c r="I125" s="12" t="n"/>
      <c r="J125" s="12" t="n"/>
      <c r="K125" s="11" t="n"/>
      <c r="L125" s="12" t="n"/>
      <c r="M125" s="11" t="n"/>
      <c r="N125" s="14">
        <f>IF(A125="","",IF(M125&lt;&gt;"",M125-B125,TODAY()-B125))</f>
        <v/>
      </c>
      <c r="O125" s="14">
        <f>IF(A125="","",IF(AND(M125="",TODAY()&gt;K125),"OVERDUE",IF(AND(M125&lt;&gt;"",M125&gt;K125),"CLOSED LATE","")))</f>
        <v/>
      </c>
      <c r="P125" s="13" t="n"/>
      <c r="Q125" s="12" t="n"/>
      <c r="R125" s="12" t="n"/>
      <c r="S125" s="12" t="n"/>
      <c r="T125" s="13" t="n"/>
    </row>
    <row r="126">
      <c r="A126" s="10" t="n"/>
      <c r="B126" s="11" t="n"/>
      <c r="C126" s="12" t="n"/>
      <c r="D126" s="12" t="n"/>
      <c r="E126" s="13" t="n"/>
      <c r="F126" s="13" t="n"/>
      <c r="G126" s="13" t="n"/>
      <c r="H126" s="13" t="n"/>
      <c r="I126" s="12" t="n"/>
      <c r="J126" s="12" t="n"/>
      <c r="K126" s="11" t="n"/>
      <c r="L126" s="12" t="n"/>
      <c r="M126" s="11" t="n"/>
      <c r="N126" s="14">
        <f>IF(A126="","",IF(M126&lt;&gt;"",M126-B126,TODAY()-B126))</f>
        <v/>
      </c>
      <c r="O126" s="14">
        <f>IF(A126="","",IF(AND(M126="",TODAY()&gt;K126),"OVERDUE",IF(AND(M126&lt;&gt;"",M126&gt;K126),"CLOSED LATE","")))</f>
        <v/>
      </c>
      <c r="P126" s="13" t="n"/>
      <c r="Q126" s="12" t="n"/>
      <c r="R126" s="12" t="n"/>
      <c r="S126" s="12" t="n"/>
      <c r="T126" s="13" t="n"/>
    </row>
    <row r="127">
      <c r="A127" s="10" t="n"/>
      <c r="B127" s="11" t="n"/>
      <c r="C127" s="12" t="n"/>
      <c r="D127" s="12" t="n"/>
      <c r="E127" s="13" t="n"/>
      <c r="F127" s="13" t="n"/>
      <c r="G127" s="13" t="n"/>
      <c r="H127" s="13" t="n"/>
      <c r="I127" s="12" t="n"/>
      <c r="J127" s="12" t="n"/>
      <c r="K127" s="11" t="n"/>
      <c r="L127" s="12" t="n"/>
      <c r="M127" s="11" t="n"/>
      <c r="N127" s="14">
        <f>IF(A127="","",IF(M127&lt;&gt;"",M127-B127,TODAY()-B127))</f>
        <v/>
      </c>
      <c r="O127" s="14">
        <f>IF(A127="","",IF(AND(M127="",TODAY()&gt;K127),"OVERDUE",IF(AND(M127&lt;&gt;"",M127&gt;K127),"CLOSED LATE","")))</f>
        <v/>
      </c>
      <c r="P127" s="13" t="n"/>
      <c r="Q127" s="12" t="n"/>
      <c r="R127" s="12" t="n"/>
      <c r="S127" s="12" t="n"/>
      <c r="T127" s="13" t="n"/>
    </row>
    <row r="128">
      <c r="A128" s="10" t="n"/>
      <c r="B128" s="11" t="n"/>
      <c r="C128" s="12" t="n"/>
      <c r="D128" s="12" t="n"/>
      <c r="E128" s="13" t="n"/>
      <c r="F128" s="13" t="n"/>
      <c r="G128" s="13" t="n"/>
      <c r="H128" s="13" t="n"/>
      <c r="I128" s="12" t="n"/>
      <c r="J128" s="12" t="n"/>
      <c r="K128" s="11" t="n"/>
      <c r="L128" s="12" t="n"/>
      <c r="M128" s="11" t="n"/>
      <c r="N128" s="14">
        <f>IF(A128="","",IF(M128&lt;&gt;"",M128-B128,TODAY()-B128))</f>
        <v/>
      </c>
      <c r="O128" s="14">
        <f>IF(A128="","",IF(AND(M128="",TODAY()&gt;K128),"OVERDUE",IF(AND(M128&lt;&gt;"",M128&gt;K128),"CLOSED LATE","")))</f>
        <v/>
      </c>
      <c r="P128" s="13" t="n"/>
      <c r="Q128" s="12" t="n"/>
      <c r="R128" s="12" t="n"/>
      <c r="S128" s="12" t="n"/>
      <c r="T128" s="13" t="n"/>
    </row>
    <row r="129">
      <c r="A129" s="10" t="n"/>
      <c r="B129" s="11" t="n"/>
      <c r="C129" s="12" t="n"/>
      <c r="D129" s="12" t="n"/>
      <c r="E129" s="13" t="n"/>
      <c r="F129" s="13" t="n"/>
      <c r="G129" s="13" t="n"/>
      <c r="H129" s="13" t="n"/>
      <c r="I129" s="12" t="n"/>
      <c r="J129" s="12" t="n"/>
      <c r="K129" s="11" t="n"/>
      <c r="L129" s="12" t="n"/>
      <c r="M129" s="11" t="n"/>
      <c r="N129" s="14">
        <f>IF(A129="","",IF(M129&lt;&gt;"",M129-B129,TODAY()-B129))</f>
        <v/>
      </c>
      <c r="O129" s="14">
        <f>IF(A129="","",IF(AND(M129="",TODAY()&gt;K129),"OVERDUE",IF(AND(M129&lt;&gt;"",M129&gt;K129),"CLOSED LATE","")))</f>
        <v/>
      </c>
      <c r="P129" s="13" t="n"/>
      <c r="Q129" s="12" t="n"/>
      <c r="R129" s="12" t="n"/>
      <c r="S129" s="12" t="n"/>
      <c r="T129" s="13" t="n"/>
    </row>
    <row r="130">
      <c r="A130" s="10" t="n"/>
      <c r="B130" s="11" t="n"/>
      <c r="C130" s="12" t="n"/>
      <c r="D130" s="12" t="n"/>
      <c r="E130" s="13" t="n"/>
      <c r="F130" s="13" t="n"/>
      <c r="G130" s="13" t="n"/>
      <c r="H130" s="13" t="n"/>
      <c r="I130" s="12" t="n"/>
      <c r="J130" s="12" t="n"/>
      <c r="K130" s="11" t="n"/>
      <c r="L130" s="12" t="n"/>
      <c r="M130" s="11" t="n"/>
      <c r="N130" s="14">
        <f>IF(A130="","",IF(M130&lt;&gt;"",M130-B130,TODAY()-B130))</f>
        <v/>
      </c>
      <c r="O130" s="14">
        <f>IF(A130="","",IF(AND(M130="",TODAY()&gt;K130),"OVERDUE",IF(AND(M130&lt;&gt;"",M130&gt;K130),"CLOSED LATE","")))</f>
        <v/>
      </c>
      <c r="P130" s="13" t="n"/>
      <c r="Q130" s="12" t="n"/>
      <c r="R130" s="12" t="n"/>
      <c r="S130" s="12" t="n"/>
      <c r="T130" s="13" t="n"/>
    </row>
    <row r="131">
      <c r="A131" s="10" t="n"/>
      <c r="B131" s="11" t="n"/>
      <c r="C131" s="12" t="n"/>
      <c r="D131" s="12" t="n"/>
      <c r="E131" s="13" t="n"/>
      <c r="F131" s="13" t="n"/>
      <c r="G131" s="13" t="n"/>
      <c r="H131" s="13" t="n"/>
      <c r="I131" s="12" t="n"/>
      <c r="J131" s="12" t="n"/>
      <c r="K131" s="11" t="n"/>
      <c r="L131" s="12" t="n"/>
      <c r="M131" s="11" t="n"/>
      <c r="N131" s="14">
        <f>IF(A131="","",IF(M131&lt;&gt;"",M131-B131,TODAY()-B131))</f>
        <v/>
      </c>
      <c r="O131" s="14">
        <f>IF(A131="","",IF(AND(M131="",TODAY()&gt;K131),"OVERDUE",IF(AND(M131&lt;&gt;"",M131&gt;K131),"CLOSED LATE","")))</f>
        <v/>
      </c>
      <c r="P131" s="13" t="n"/>
      <c r="Q131" s="12" t="n"/>
      <c r="R131" s="12" t="n"/>
      <c r="S131" s="12" t="n"/>
      <c r="T131" s="13" t="n"/>
    </row>
    <row r="132">
      <c r="A132" s="10" t="n"/>
      <c r="B132" s="11" t="n"/>
      <c r="C132" s="12" t="n"/>
      <c r="D132" s="12" t="n"/>
      <c r="E132" s="13" t="n"/>
      <c r="F132" s="13" t="n"/>
      <c r="G132" s="13" t="n"/>
      <c r="H132" s="13" t="n"/>
      <c r="I132" s="12" t="n"/>
      <c r="J132" s="12" t="n"/>
      <c r="K132" s="11" t="n"/>
      <c r="L132" s="12" t="n"/>
      <c r="M132" s="11" t="n"/>
      <c r="N132" s="14">
        <f>IF(A132="","",IF(M132&lt;&gt;"",M132-B132,TODAY()-B132))</f>
        <v/>
      </c>
      <c r="O132" s="14">
        <f>IF(A132="","",IF(AND(M132="",TODAY()&gt;K132),"OVERDUE",IF(AND(M132&lt;&gt;"",M132&gt;K132),"CLOSED LATE","")))</f>
        <v/>
      </c>
      <c r="P132" s="13" t="n"/>
      <c r="Q132" s="12" t="n"/>
      <c r="R132" s="12" t="n"/>
      <c r="S132" s="12" t="n"/>
      <c r="T132" s="13" t="n"/>
    </row>
    <row r="133">
      <c r="A133" s="10" t="n"/>
      <c r="B133" s="11" t="n"/>
      <c r="C133" s="12" t="n"/>
      <c r="D133" s="12" t="n"/>
      <c r="E133" s="13" t="n"/>
      <c r="F133" s="13" t="n"/>
      <c r="G133" s="13" t="n"/>
      <c r="H133" s="13" t="n"/>
      <c r="I133" s="12" t="n"/>
      <c r="J133" s="12" t="n"/>
      <c r="K133" s="11" t="n"/>
      <c r="L133" s="12" t="n"/>
      <c r="M133" s="11" t="n"/>
      <c r="N133" s="14">
        <f>IF(A133="","",IF(M133&lt;&gt;"",M133-B133,TODAY()-B133))</f>
        <v/>
      </c>
      <c r="O133" s="14">
        <f>IF(A133="","",IF(AND(M133="",TODAY()&gt;K133),"OVERDUE",IF(AND(M133&lt;&gt;"",M133&gt;K133),"CLOSED LATE","")))</f>
        <v/>
      </c>
      <c r="P133" s="13" t="n"/>
      <c r="Q133" s="12" t="n"/>
      <c r="R133" s="12" t="n"/>
      <c r="S133" s="12" t="n"/>
      <c r="T133" s="13" t="n"/>
    </row>
    <row r="134">
      <c r="A134" s="10" t="n"/>
      <c r="B134" s="11" t="n"/>
      <c r="C134" s="12" t="n"/>
      <c r="D134" s="12" t="n"/>
      <c r="E134" s="13" t="n"/>
      <c r="F134" s="13" t="n"/>
      <c r="G134" s="13" t="n"/>
      <c r="H134" s="13" t="n"/>
      <c r="I134" s="12" t="n"/>
      <c r="J134" s="12" t="n"/>
      <c r="K134" s="11" t="n"/>
      <c r="L134" s="12" t="n"/>
      <c r="M134" s="11" t="n"/>
      <c r="N134" s="14">
        <f>IF(A134="","",IF(M134&lt;&gt;"",M134-B134,TODAY()-B134))</f>
        <v/>
      </c>
      <c r="O134" s="14">
        <f>IF(A134="","",IF(AND(M134="",TODAY()&gt;K134),"OVERDUE",IF(AND(M134&lt;&gt;"",M134&gt;K134),"CLOSED LATE","")))</f>
        <v/>
      </c>
      <c r="P134" s="13" t="n"/>
      <c r="Q134" s="12" t="n"/>
      <c r="R134" s="12" t="n"/>
      <c r="S134" s="12" t="n"/>
      <c r="T134" s="13" t="n"/>
    </row>
    <row r="135">
      <c r="A135" s="10" t="n"/>
      <c r="B135" s="11" t="n"/>
      <c r="C135" s="12" t="n"/>
      <c r="D135" s="12" t="n"/>
      <c r="E135" s="13" t="n"/>
      <c r="F135" s="13" t="n"/>
      <c r="G135" s="13" t="n"/>
      <c r="H135" s="13" t="n"/>
      <c r="I135" s="12" t="n"/>
      <c r="J135" s="12" t="n"/>
      <c r="K135" s="11" t="n"/>
      <c r="L135" s="12" t="n"/>
      <c r="M135" s="11" t="n"/>
      <c r="N135" s="14">
        <f>IF(A135="","",IF(M135&lt;&gt;"",M135-B135,TODAY()-B135))</f>
        <v/>
      </c>
      <c r="O135" s="14">
        <f>IF(A135="","",IF(AND(M135="",TODAY()&gt;K135),"OVERDUE",IF(AND(M135&lt;&gt;"",M135&gt;K135),"CLOSED LATE","")))</f>
        <v/>
      </c>
      <c r="P135" s="13" t="n"/>
      <c r="Q135" s="12" t="n"/>
      <c r="R135" s="12" t="n"/>
      <c r="S135" s="12" t="n"/>
      <c r="T135" s="13" t="n"/>
    </row>
    <row r="136">
      <c r="A136" s="10" t="n"/>
      <c r="B136" s="11" t="n"/>
      <c r="C136" s="12" t="n"/>
      <c r="D136" s="12" t="n"/>
      <c r="E136" s="13" t="n"/>
      <c r="F136" s="13" t="n"/>
      <c r="G136" s="13" t="n"/>
      <c r="H136" s="13" t="n"/>
      <c r="I136" s="12" t="n"/>
      <c r="J136" s="12" t="n"/>
      <c r="K136" s="11" t="n"/>
      <c r="L136" s="12" t="n"/>
      <c r="M136" s="11" t="n"/>
      <c r="N136" s="14">
        <f>IF(A136="","",IF(M136&lt;&gt;"",M136-B136,TODAY()-B136))</f>
        <v/>
      </c>
      <c r="O136" s="14">
        <f>IF(A136="","",IF(AND(M136="",TODAY()&gt;K136),"OVERDUE",IF(AND(M136&lt;&gt;"",M136&gt;K136),"CLOSED LATE","")))</f>
        <v/>
      </c>
      <c r="P136" s="13" t="n"/>
      <c r="Q136" s="12" t="n"/>
      <c r="R136" s="12" t="n"/>
      <c r="S136" s="12" t="n"/>
      <c r="T136" s="13" t="n"/>
    </row>
    <row r="137">
      <c r="A137" s="10" t="n"/>
      <c r="B137" s="11" t="n"/>
      <c r="C137" s="12" t="n"/>
      <c r="D137" s="12" t="n"/>
      <c r="E137" s="13" t="n"/>
      <c r="F137" s="13" t="n"/>
      <c r="G137" s="13" t="n"/>
      <c r="H137" s="13" t="n"/>
      <c r="I137" s="12" t="n"/>
      <c r="J137" s="12" t="n"/>
      <c r="K137" s="11" t="n"/>
      <c r="L137" s="12" t="n"/>
      <c r="M137" s="11" t="n"/>
      <c r="N137" s="14">
        <f>IF(A137="","",IF(M137&lt;&gt;"",M137-B137,TODAY()-B137))</f>
        <v/>
      </c>
      <c r="O137" s="14">
        <f>IF(A137="","",IF(AND(M137="",TODAY()&gt;K137),"OVERDUE",IF(AND(M137&lt;&gt;"",M137&gt;K137),"CLOSED LATE","")))</f>
        <v/>
      </c>
      <c r="P137" s="13" t="n"/>
      <c r="Q137" s="12" t="n"/>
      <c r="R137" s="12" t="n"/>
      <c r="S137" s="12" t="n"/>
      <c r="T137" s="13" t="n"/>
    </row>
    <row r="138">
      <c r="A138" s="10" t="n"/>
      <c r="B138" s="11" t="n"/>
      <c r="C138" s="12" t="n"/>
      <c r="D138" s="12" t="n"/>
      <c r="E138" s="13" t="n"/>
      <c r="F138" s="13" t="n"/>
      <c r="G138" s="13" t="n"/>
      <c r="H138" s="13" t="n"/>
      <c r="I138" s="12" t="n"/>
      <c r="J138" s="12" t="n"/>
      <c r="K138" s="11" t="n"/>
      <c r="L138" s="12" t="n"/>
      <c r="M138" s="11" t="n"/>
      <c r="N138" s="14">
        <f>IF(A138="","",IF(M138&lt;&gt;"",M138-B138,TODAY()-B138))</f>
        <v/>
      </c>
      <c r="O138" s="14">
        <f>IF(A138="","",IF(AND(M138="",TODAY()&gt;K138),"OVERDUE",IF(AND(M138&lt;&gt;"",M138&gt;K138),"CLOSED LATE","")))</f>
        <v/>
      </c>
      <c r="P138" s="13" t="n"/>
      <c r="Q138" s="12" t="n"/>
      <c r="R138" s="12" t="n"/>
      <c r="S138" s="12" t="n"/>
      <c r="T138" s="13" t="n"/>
    </row>
    <row r="139">
      <c r="A139" s="10" t="n"/>
      <c r="B139" s="11" t="n"/>
      <c r="C139" s="12" t="n"/>
      <c r="D139" s="12" t="n"/>
      <c r="E139" s="13" t="n"/>
      <c r="F139" s="13" t="n"/>
      <c r="G139" s="13" t="n"/>
      <c r="H139" s="13" t="n"/>
      <c r="I139" s="12" t="n"/>
      <c r="J139" s="12" t="n"/>
      <c r="K139" s="11" t="n"/>
      <c r="L139" s="12" t="n"/>
      <c r="M139" s="11" t="n"/>
      <c r="N139" s="14">
        <f>IF(A139="","",IF(M139&lt;&gt;"",M139-B139,TODAY()-B139))</f>
        <v/>
      </c>
      <c r="O139" s="14">
        <f>IF(A139="","",IF(AND(M139="",TODAY()&gt;K139),"OVERDUE",IF(AND(M139&lt;&gt;"",M139&gt;K139),"CLOSED LATE","")))</f>
        <v/>
      </c>
      <c r="P139" s="13" t="n"/>
      <c r="Q139" s="12" t="n"/>
      <c r="R139" s="12" t="n"/>
      <c r="S139" s="12" t="n"/>
      <c r="T139" s="13" t="n"/>
    </row>
    <row r="140">
      <c r="A140" s="10" t="n"/>
      <c r="B140" s="11" t="n"/>
      <c r="C140" s="12" t="n"/>
      <c r="D140" s="12" t="n"/>
      <c r="E140" s="13" t="n"/>
      <c r="F140" s="13" t="n"/>
      <c r="G140" s="13" t="n"/>
      <c r="H140" s="13" t="n"/>
      <c r="I140" s="12" t="n"/>
      <c r="J140" s="12" t="n"/>
      <c r="K140" s="11" t="n"/>
      <c r="L140" s="12" t="n"/>
      <c r="M140" s="11" t="n"/>
      <c r="N140" s="14">
        <f>IF(A140="","",IF(M140&lt;&gt;"",M140-B140,TODAY()-B140))</f>
        <v/>
      </c>
      <c r="O140" s="14">
        <f>IF(A140="","",IF(AND(M140="",TODAY()&gt;K140),"OVERDUE",IF(AND(M140&lt;&gt;"",M140&gt;K140),"CLOSED LATE","")))</f>
        <v/>
      </c>
      <c r="P140" s="13" t="n"/>
      <c r="Q140" s="12" t="n"/>
      <c r="R140" s="12" t="n"/>
      <c r="S140" s="12" t="n"/>
      <c r="T140" s="13" t="n"/>
    </row>
    <row r="141">
      <c r="A141" s="10" t="n"/>
      <c r="B141" s="11" t="n"/>
      <c r="C141" s="12" t="n"/>
      <c r="D141" s="12" t="n"/>
      <c r="E141" s="13" t="n"/>
      <c r="F141" s="13" t="n"/>
      <c r="G141" s="13" t="n"/>
      <c r="H141" s="13" t="n"/>
      <c r="I141" s="12" t="n"/>
      <c r="J141" s="12" t="n"/>
      <c r="K141" s="11" t="n"/>
      <c r="L141" s="12" t="n"/>
      <c r="M141" s="11" t="n"/>
      <c r="N141" s="14">
        <f>IF(A141="","",IF(M141&lt;&gt;"",M141-B141,TODAY()-B141))</f>
        <v/>
      </c>
      <c r="O141" s="14">
        <f>IF(A141="","",IF(AND(M141="",TODAY()&gt;K141),"OVERDUE",IF(AND(M141&lt;&gt;"",M141&gt;K141),"CLOSED LATE","")))</f>
        <v/>
      </c>
      <c r="P141" s="13" t="n"/>
      <c r="Q141" s="12" t="n"/>
      <c r="R141" s="12" t="n"/>
      <c r="S141" s="12" t="n"/>
      <c r="T141" s="13" t="n"/>
    </row>
    <row r="142">
      <c r="A142" s="10" t="n"/>
      <c r="B142" s="11" t="n"/>
      <c r="C142" s="12" t="n"/>
      <c r="D142" s="12" t="n"/>
      <c r="E142" s="13" t="n"/>
      <c r="F142" s="13" t="n"/>
      <c r="G142" s="13" t="n"/>
      <c r="H142" s="13" t="n"/>
      <c r="I142" s="12" t="n"/>
      <c r="J142" s="12" t="n"/>
      <c r="K142" s="11" t="n"/>
      <c r="L142" s="12" t="n"/>
      <c r="M142" s="11" t="n"/>
      <c r="N142" s="14">
        <f>IF(A142="","",IF(M142&lt;&gt;"",M142-B142,TODAY()-B142))</f>
        <v/>
      </c>
      <c r="O142" s="14">
        <f>IF(A142="","",IF(AND(M142="",TODAY()&gt;K142),"OVERDUE",IF(AND(M142&lt;&gt;"",M142&gt;K142),"CLOSED LATE","")))</f>
        <v/>
      </c>
      <c r="P142" s="13" t="n"/>
      <c r="Q142" s="12" t="n"/>
      <c r="R142" s="12" t="n"/>
      <c r="S142" s="12" t="n"/>
      <c r="T142" s="13" t="n"/>
    </row>
    <row r="143">
      <c r="A143" s="10" t="n"/>
      <c r="B143" s="11" t="n"/>
      <c r="C143" s="12" t="n"/>
      <c r="D143" s="12" t="n"/>
      <c r="E143" s="13" t="n"/>
      <c r="F143" s="13" t="n"/>
      <c r="G143" s="13" t="n"/>
      <c r="H143" s="13" t="n"/>
      <c r="I143" s="12" t="n"/>
      <c r="J143" s="12" t="n"/>
      <c r="K143" s="11" t="n"/>
      <c r="L143" s="12" t="n"/>
      <c r="M143" s="11" t="n"/>
      <c r="N143" s="14">
        <f>IF(A143="","",IF(M143&lt;&gt;"",M143-B143,TODAY()-B143))</f>
        <v/>
      </c>
      <c r="O143" s="14">
        <f>IF(A143="","",IF(AND(M143="",TODAY()&gt;K143),"OVERDUE",IF(AND(M143&lt;&gt;"",M143&gt;K143),"CLOSED LATE","")))</f>
        <v/>
      </c>
      <c r="P143" s="13" t="n"/>
      <c r="Q143" s="12" t="n"/>
      <c r="R143" s="12" t="n"/>
      <c r="S143" s="12" t="n"/>
      <c r="T143" s="13" t="n"/>
    </row>
    <row r="144">
      <c r="A144" s="10" t="n"/>
      <c r="B144" s="11" t="n"/>
      <c r="C144" s="12" t="n"/>
      <c r="D144" s="12" t="n"/>
      <c r="E144" s="13" t="n"/>
      <c r="F144" s="13" t="n"/>
      <c r="G144" s="13" t="n"/>
      <c r="H144" s="13" t="n"/>
      <c r="I144" s="12" t="n"/>
      <c r="J144" s="12" t="n"/>
      <c r="K144" s="11" t="n"/>
      <c r="L144" s="12" t="n"/>
      <c r="M144" s="11" t="n"/>
      <c r="N144" s="14">
        <f>IF(A144="","",IF(M144&lt;&gt;"",M144-B144,TODAY()-B144))</f>
        <v/>
      </c>
      <c r="O144" s="14">
        <f>IF(A144="","",IF(AND(M144="",TODAY()&gt;K144),"OVERDUE",IF(AND(M144&lt;&gt;"",M144&gt;K144),"CLOSED LATE","")))</f>
        <v/>
      </c>
      <c r="P144" s="13" t="n"/>
      <c r="Q144" s="12" t="n"/>
      <c r="R144" s="12" t="n"/>
      <c r="S144" s="12" t="n"/>
      <c r="T144" s="13" t="n"/>
    </row>
    <row r="145">
      <c r="A145" s="10" t="n"/>
      <c r="B145" s="11" t="n"/>
      <c r="C145" s="12" t="n"/>
      <c r="D145" s="12" t="n"/>
      <c r="E145" s="13" t="n"/>
      <c r="F145" s="13" t="n"/>
      <c r="G145" s="13" t="n"/>
      <c r="H145" s="13" t="n"/>
      <c r="I145" s="12" t="n"/>
      <c r="J145" s="12" t="n"/>
      <c r="K145" s="11" t="n"/>
      <c r="L145" s="12" t="n"/>
      <c r="M145" s="11" t="n"/>
      <c r="N145" s="14">
        <f>IF(A145="","",IF(M145&lt;&gt;"",M145-B145,TODAY()-B145))</f>
        <v/>
      </c>
      <c r="O145" s="14">
        <f>IF(A145="","",IF(AND(M145="",TODAY()&gt;K145),"OVERDUE",IF(AND(M145&lt;&gt;"",M145&gt;K145),"CLOSED LATE","")))</f>
        <v/>
      </c>
      <c r="P145" s="13" t="n"/>
      <c r="Q145" s="12" t="n"/>
      <c r="R145" s="12" t="n"/>
      <c r="S145" s="12" t="n"/>
      <c r="T145" s="13" t="n"/>
    </row>
    <row r="146">
      <c r="A146" s="10" t="n"/>
      <c r="B146" s="11" t="n"/>
      <c r="C146" s="12" t="n"/>
      <c r="D146" s="12" t="n"/>
      <c r="E146" s="13" t="n"/>
      <c r="F146" s="13" t="n"/>
      <c r="G146" s="13" t="n"/>
      <c r="H146" s="13" t="n"/>
      <c r="I146" s="12" t="n"/>
      <c r="J146" s="12" t="n"/>
      <c r="K146" s="11" t="n"/>
      <c r="L146" s="12" t="n"/>
      <c r="M146" s="11" t="n"/>
      <c r="N146" s="14">
        <f>IF(A146="","",IF(M146&lt;&gt;"",M146-B146,TODAY()-B146))</f>
        <v/>
      </c>
      <c r="O146" s="14">
        <f>IF(A146="","",IF(AND(M146="",TODAY()&gt;K146),"OVERDUE",IF(AND(M146&lt;&gt;"",M146&gt;K146),"CLOSED LATE","")))</f>
        <v/>
      </c>
      <c r="P146" s="13" t="n"/>
      <c r="Q146" s="12" t="n"/>
      <c r="R146" s="12" t="n"/>
      <c r="S146" s="12" t="n"/>
      <c r="T146" s="13" t="n"/>
    </row>
    <row r="147">
      <c r="A147" s="10" t="n"/>
      <c r="B147" s="11" t="n"/>
      <c r="C147" s="12" t="n"/>
      <c r="D147" s="12" t="n"/>
      <c r="E147" s="13" t="n"/>
      <c r="F147" s="13" t="n"/>
      <c r="G147" s="13" t="n"/>
      <c r="H147" s="13" t="n"/>
      <c r="I147" s="12" t="n"/>
      <c r="J147" s="12" t="n"/>
      <c r="K147" s="11" t="n"/>
      <c r="L147" s="12" t="n"/>
      <c r="M147" s="11" t="n"/>
      <c r="N147" s="14">
        <f>IF(A147="","",IF(M147&lt;&gt;"",M147-B147,TODAY()-B147))</f>
        <v/>
      </c>
      <c r="O147" s="14">
        <f>IF(A147="","",IF(AND(M147="",TODAY()&gt;K147),"OVERDUE",IF(AND(M147&lt;&gt;"",M147&gt;K147),"CLOSED LATE","")))</f>
        <v/>
      </c>
      <c r="P147" s="13" t="n"/>
      <c r="Q147" s="12" t="n"/>
      <c r="R147" s="12" t="n"/>
      <c r="S147" s="12" t="n"/>
      <c r="T147" s="13" t="n"/>
    </row>
    <row r="148">
      <c r="A148" s="10" t="n"/>
      <c r="B148" s="11" t="n"/>
      <c r="C148" s="12" t="n"/>
      <c r="D148" s="12" t="n"/>
      <c r="E148" s="13" t="n"/>
      <c r="F148" s="13" t="n"/>
      <c r="G148" s="13" t="n"/>
      <c r="H148" s="13" t="n"/>
      <c r="I148" s="12" t="n"/>
      <c r="J148" s="12" t="n"/>
      <c r="K148" s="11" t="n"/>
      <c r="L148" s="12" t="n"/>
      <c r="M148" s="11" t="n"/>
      <c r="N148" s="14">
        <f>IF(A148="","",IF(M148&lt;&gt;"",M148-B148,TODAY()-B148))</f>
        <v/>
      </c>
      <c r="O148" s="14">
        <f>IF(A148="","",IF(AND(M148="",TODAY()&gt;K148),"OVERDUE",IF(AND(M148&lt;&gt;"",M148&gt;K148),"CLOSED LATE","")))</f>
        <v/>
      </c>
      <c r="P148" s="13" t="n"/>
      <c r="Q148" s="12" t="n"/>
      <c r="R148" s="12" t="n"/>
      <c r="S148" s="12" t="n"/>
      <c r="T148" s="13" t="n"/>
    </row>
    <row r="149">
      <c r="A149" s="10" t="n"/>
      <c r="B149" s="11" t="n"/>
      <c r="C149" s="12" t="n"/>
      <c r="D149" s="12" t="n"/>
      <c r="E149" s="13" t="n"/>
      <c r="F149" s="13" t="n"/>
      <c r="G149" s="13" t="n"/>
      <c r="H149" s="13" t="n"/>
      <c r="I149" s="12" t="n"/>
      <c r="J149" s="12" t="n"/>
      <c r="K149" s="11" t="n"/>
      <c r="L149" s="12" t="n"/>
      <c r="M149" s="11" t="n"/>
      <c r="N149" s="14">
        <f>IF(A149="","",IF(M149&lt;&gt;"",M149-B149,TODAY()-B149))</f>
        <v/>
      </c>
      <c r="O149" s="14">
        <f>IF(A149="","",IF(AND(M149="",TODAY()&gt;K149),"OVERDUE",IF(AND(M149&lt;&gt;"",M149&gt;K149),"CLOSED LATE","")))</f>
        <v/>
      </c>
      <c r="P149" s="13" t="n"/>
      <c r="Q149" s="12" t="n"/>
      <c r="R149" s="12" t="n"/>
      <c r="S149" s="12" t="n"/>
      <c r="T149" s="13" t="n"/>
    </row>
    <row r="150">
      <c r="A150" s="10" t="n"/>
      <c r="B150" s="11" t="n"/>
      <c r="C150" s="12" t="n"/>
      <c r="D150" s="12" t="n"/>
      <c r="E150" s="13" t="n"/>
      <c r="F150" s="13" t="n"/>
      <c r="G150" s="13" t="n"/>
      <c r="H150" s="13" t="n"/>
      <c r="I150" s="12" t="n"/>
      <c r="J150" s="12" t="n"/>
      <c r="K150" s="11" t="n"/>
      <c r="L150" s="12" t="n"/>
      <c r="M150" s="11" t="n"/>
      <c r="N150" s="14">
        <f>IF(A150="","",IF(M150&lt;&gt;"",M150-B150,TODAY()-B150))</f>
        <v/>
      </c>
      <c r="O150" s="14">
        <f>IF(A150="","",IF(AND(M150="",TODAY()&gt;K150),"OVERDUE",IF(AND(M150&lt;&gt;"",M150&gt;K150),"CLOSED LATE","")))</f>
        <v/>
      </c>
      <c r="P150" s="13" t="n"/>
      <c r="Q150" s="12" t="n"/>
      <c r="R150" s="12" t="n"/>
      <c r="S150" s="12" t="n"/>
      <c r="T150" s="13" t="n"/>
    </row>
    <row r="151">
      <c r="A151" s="10" t="n"/>
      <c r="B151" s="11" t="n"/>
      <c r="C151" s="12" t="n"/>
      <c r="D151" s="12" t="n"/>
      <c r="E151" s="13" t="n"/>
      <c r="F151" s="13" t="n"/>
      <c r="G151" s="13" t="n"/>
      <c r="H151" s="13" t="n"/>
      <c r="I151" s="12" t="n"/>
      <c r="J151" s="12" t="n"/>
      <c r="K151" s="11" t="n"/>
      <c r="L151" s="12" t="n"/>
      <c r="M151" s="11" t="n"/>
      <c r="N151" s="14">
        <f>IF(A151="","",IF(M151&lt;&gt;"",M151-B151,TODAY()-B151))</f>
        <v/>
      </c>
      <c r="O151" s="14">
        <f>IF(A151="","",IF(AND(M151="",TODAY()&gt;K151),"OVERDUE",IF(AND(M151&lt;&gt;"",M151&gt;K151),"CLOSED LATE","")))</f>
        <v/>
      </c>
      <c r="P151" s="13" t="n"/>
      <c r="Q151" s="12" t="n"/>
      <c r="R151" s="12" t="n"/>
      <c r="S151" s="12" t="n"/>
      <c r="T151" s="13" t="n"/>
    </row>
    <row r="152">
      <c r="A152" s="10" t="n"/>
      <c r="B152" s="11" t="n"/>
      <c r="C152" s="12" t="n"/>
      <c r="D152" s="12" t="n"/>
      <c r="E152" s="13" t="n"/>
      <c r="F152" s="13" t="n"/>
      <c r="G152" s="13" t="n"/>
      <c r="H152" s="13" t="n"/>
      <c r="I152" s="12" t="n"/>
      <c r="J152" s="12" t="n"/>
      <c r="K152" s="11" t="n"/>
      <c r="L152" s="12" t="n"/>
      <c r="M152" s="11" t="n"/>
      <c r="N152" s="14">
        <f>IF(A152="","",IF(M152&lt;&gt;"",M152-B152,TODAY()-B152))</f>
        <v/>
      </c>
      <c r="O152" s="14">
        <f>IF(A152="","",IF(AND(M152="",TODAY()&gt;K152),"OVERDUE",IF(AND(M152&lt;&gt;"",M152&gt;K152),"CLOSED LATE","")))</f>
        <v/>
      </c>
      <c r="P152" s="13" t="n"/>
      <c r="Q152" s="12" t="n"/>
      <c r="R152" s="12" t="n"/>
      <c r="S152" s="12" t="n"/>
      <c r="T152" s="13" t="n"/>
    </row>
    <row r="153">
      <c r="A153" s="10" t="n"/>
      <c r="B153" s="11" t="n"/>
      <c r="C153" s="12" t="n"/>
      <c r="D153" s="12" t="n"/>
      <c r="E153" s="13" t="n"/>
      <c r="F153" s="13" t="n"/>
      <c r="G153" s="13" t="n"/>
      <c r="H153" s="13" t="n"/>
      <c r="I153" s="12" t="n"/>
      <c r="J153" s="12" t="n"/>
      <c r="K153" s="11" t="n"/>
      <c r="L153" s="12" t="n"/>
      <c r="M153" s="11" t="n"/>
      <c r="N153" s="14">
        <f>IF(A153="","",IF(M153&lt;&gt;"",M153-B153,TODAY()-B153))</f>
        <v/>
      </c>
      <c r="O153" s="14">
        <f>IF(A153="","",IF(AND(M153="",TODAY()&gt;K153),"OVERDUE",IF(AND(M153&lt;&gt;"",M153&gt;K153),"CLOSED LATE","")))</f>
        <v/>
      </c>
      <c r="P153" s="13" t="n"/>
      <c r="Q153" s="12" t="n"/>
      <c r="R153" s="12" t="n"/>
      <c r="S153" s="12" t="n"/>
      <c r="T153" s="13" t="n"/>
    </row>
    <row r="154">
      <c r="A154" s="10" t="n"/>
      <c r="B154" s="11" t="n"/>
      <c r="C154" s="12" t="n"/>
      <c r="D154" s="12" t="n"/>
      <c r="E154" s="13" t="n"/>
      <c r="F154" s="13" t="n"/>
      <c r="G154" s="13" t="n"/>
      <c r="H154" s="13" t="n"/>
      <c r="I154" s="12" t="n"/>
      <c r="J154" s="12" t="n"/>
      <c r="K154" s="11" t="n"/>
      <c r="L154" s="12" t="n"/>
      <c r="M154" s="11" t="n"/>
      <c r="N154" s="14">
        <f>IF(A154="","",IF(M154&lt;&gt;"",M154-B154,TODAY()-B154))</f>
        <v/>
      </c>
      <c r="O154" s="14">
        <f>IF(A154="","",IF(AND(M154="",TODAY()&gt;K154),"OVERDUE",IF(AND(M154&lt;&gt;"",M154&gt;K154),"CLOSED LATE","")))</f>
        <v/>
      </c>
      <c r="P154" s="13" t="n"/>
      <c r="Q154" s="12" t="n"/>
      <c r="R154" s="12" t="n"/>
      <c r="S154" s="12" t="n"/>
      <c r="T154" s="13" t="n"/>
    </row>
    <row r="155">
      <c r="A155" s="10" t="n"/>
      <c r="B155" s="11" t="n"/>
      <c r="C155" s="12" t="n"/>
      <c r="D155" s="12" t="n"/>
      <c r="E155" s="13" t="n"/>
      <c r="F155" s="13" t="n"/>
      <c r="G155" s="13" t="n"/>
      <c r="H155" s="13" t="n"/>
      <c r="I155" s="12" t="n"/>
      <c r="J155" s="12" t="n"/>
      <c r="K155" s="11" t="n"/>
      <c r="L155" s="12" t="n"/>
      <c r="M155" s="11" t="n"/>
      <c r="N155" s="14">
        <f>IF(A155="","",IF(M155&lt;&gt;"",M155-B155,TODAY()-B155))</f>
        <v/>
      </c>
      <c r="O155" s="14">
        <f>IF(A155="","",IF(AND(M155="",TODAY()&gt;K155),"OVERDUE",IF(AND(M155&lt;&gt;"",M155&gt;K155),"CLOSED LATE","")))</f>
        <v/>
      </c>
      <c r="P155" s="13" t="n"/>
      <c r="Q155" s="12" t="n"/>
      <c r="R155" s="12" t="n"/>
      <c r="S155" s="12" t="n"/>
      <c r="T155" s="13" t="n"/>
    </row>
    <row r="156">
      <c r="A156" s="10" t="n"/>
      <c r="B156" s="11" t="n"/>
      <c r="C156" s="12" t="n"/>
      <c r="D156" s="12" t="n"/>
      <c r="E156" s="13" t="n"/>
      <c r="F156" s="13" t="n"/>
      <c r="G156" s="13" t="n"/>
      <c r="H156" s="13" t="n"/>
      <c r="I156" s="12" t="n"/>
      <c r="J156" s="12" t="n"/>
      <c r="K156" s="11" t="n"/>
      <c r="L156" s="12" t="n"/>
      <c r="M156" s="11" t="n"/>
      <c r="N156" s="14">
        <f>IF(A156="","",IF(M156&lt;&gt;"",M156-B156,TODAY()-B156))</f>
        <v/>
      </c>
      <c r="O156" s="14">
        <f>IF(A156="","",IF(AND(M156="",TODAY()&gt;K156),"OVERDUE",IF(AND(M156&lt;&gt;"",M156&gt;K156),"CLOSED LATE","")))</f>
        <v/>
      </c>
      <c r="P156" s="13" t="n"/>
      <c r="Q156" s="12" t="n"/>
      <c r="R156" s="12" t="n"/>
      <c r="S156" s="12" t="n"/>
      <c r="T156" s="13" t="n"/>
    </row>
    <row r="157">
      <c r="A157" s="10" t="n"/>
      <c r="B157" s="11" t="n"/>
      <c r="C157" s="12" t="n"/>
      <c r="D157" s="12" t="n"/>
      <c r="E157" s="13" t="n"/>
      <c r="F157" s="13" t="n"/>
      <c r="G157" s="13" t="n"/>
      <c r="H157" s="13" t="n"/>
      <c r="I157" s="12" t="n"/>
      <c r="J157" s="12" t="n"/>
      <c r="K157" s="11" t="n"/>
      <c r="L157" s="12" t="n"/>
      <c r="M157" s="11" t="n"/>
      <c r="N157" s="14">
        <f>IF(A157="","",IF(M157&lt;&gt;"",M157-B157,TODAY()-B157))</f>
        <v/>
      </c>
      <c r="O157" s="14">
        <f>IF(A157="","",IF(AND(M157="",TODAY()&gt;K157),"OVERDUE",IF(AND(M157&lt;&gt;"",M157&gt;K157),"CLOSED LATE","")))</f>
        <v/>
      </c>
      <c r="P157" s="13" t="n"/>
      <c r="Q157" s="12" t="n"/>
      <c r="R157" s="12" t="n"/>
      <c r="S157" s="12" t="n"/>
      <c r="T157" s="13" t="n"/>
    </row>
    <row r="158">
      <c r="A158" s="10" t="n"/>
      <c r="B158" s="11" t="n"/>
      <c r="C158" s="12" t="n"/>
      <c r="D158" s="12" t="n"/>
      <c r="E158" s="13" t="n"/>
      <c r="F158" s="13" t="n"/>
      <c r="G158" s="13" t="n"/>
      <c r="H158" s="13" t="n"/>
      <c r="I158" s="12" t="n"/>
      <c r="J158" s="12" t="n"/>
      <c r="K158" s="11" t="n"/>
      <c r="L158" s="12" t="n"/>
      <c r="M158" s="11" t="n"/>
      <c r="N158" s="14">
        <f>IF(A158="","",IF(M158&lt;&gt;"",M158-B158,TODAY()-B158))</f>
        <v/>
      </c>
      <c r="O158" s="14">
        <f>IF(A158="","",IF(AND(M158="",TODAY()&gt;K158),"OVERDUE",IF(AND(M158&lt;&gt;"",M158&gt;K158),"CLOSED LATE","")))</f>
        <v/>
      </c>
      <c r="P158" s="13" t="n"/>
      <c r="Q158" s="12" t="n"/>
      <c r="R158" s="12" t="n"/>
      <c r="S158" s="12" t="n"/>
      <c r="T158" s="13" t="n"/>
    </row>
    <row r="159">
      <c r="A159" s="10" t="n"/>
      <c r="B159" s="11" t="n"/>
      <c r="C159" s="12" t="n"/>
      <c r="D159" s="12" t="n"/>
      <c r="E159" s="13" t="n"/>
      <c r="F159" s="13" t="n"/>
      <c r="G159" s="13" t="n"/>
      <c r="H159" s="13" t="n"/>
      <c r="I159" s="12" t="n"/>
      <c r="J159" s="12" t="n"/>
      <c r="K159" s="11" t="n"/>
      <c r="L159" s="12" t="n"/>
      <c r="M159" s="11" t="n"/>
      <c r="N159" s="14">
        <f>IF(A159="","",IF(M159&lt;&gt;"",M159-B159,TODAY()-B159))</f>
        <v/>
      </c>
      <c r="O159" s="14">
        <f>IF(A159="","",IF(AND(M159="",TODAY()&gt;K159),"OVERDUE",IF(AND(M159&lt;&gt;"",M159&gt;K159),"CLOSED LATE","")))</f>
        <v/>
      </c>
      <c r="P159" s="13" t="n"/>
      <c r="Q159" s="12" t="n"/>
      <c r="R159" s="12" t="n"/>
      <c r="S159" s="12" t="n"/>
      <c r="T159" s="13" t="n"/>
    </row>
    <row r="160">
      <c r="A160" s="10" t="n"/>
      <c r="B160" s="11" t="n"/>
      <c r="C160" s="12" t="n"/>
      <c r="D160" s="12" t="n"/>
      <c r="E160" s="13" t="n"/>
      <c r="F160" s="13" t="n"/>
      <c r="G160" s="13" t="n"/>
      <c r="H160" s="13" t="n"/>
      <c r="I160" s="12" t="n"/>
      <c r="J160" s="12" t="n"/>
      <c r="K160" s="11" t="n"/>
      <c r="L160" s="12" t="n"/>
      <c r="M160" s="11" t="n"/>
      <c r="N160" s="14">
        <f>IF(A160="","",IF(M160&lt;&gt;"",M160-B160,TODAY()-B160))</f>
        <v/>
      </c>
      <c r="O160" s="14">
        <f>IF(A160="","",IF(AND(M160="",TODAY()&gt;K160),"OVERDUE",IF(AND(M160&lt;&gt;"",M160&gt;K160),"CLOSED LATE","")))</f>
        <v/>
      </c>
      <c r="P160" s="13" t="n"/>
      <c r="Q160" s="12" t="n"/>
      <c r="R160" s="12" t="n"/>
      <c r="S160" s="12" t="n"/>
      <c r="T160" s="13" t="n"/>
    </row>
    <row r="161">
      <c r="A161" s="10" t="n"/>
      <c r="B161" s="11" t="n"/>
      <c r="C161" s="12" t="n"/>
      <c r="D161" s="12" t="n"/>
      <c r="E161" s="13" t="n"/>
      <c r="F161" s="13" t="n"/>
      <c r="G161" s="13" t="n"/>
      <c r="H161" s="13" t="n"/>
      <c r="I161" s="12" t="n"/>
      <c r="J161" s="12" t="n"/>
      <c r="K161" s="11" t="n"/>
      <c r="L161" s="12" t="n"/>
      <c r="M161" s="11" t="n"/>
      <c r="N161" s="14">
        <f>IF(A161="","",IF(M161&lt;&gt;"",M161-B161,TODAY()-B161))</f>
        <v/>
      </c>
      <c r="O161" s="14">
        <f>IF(A161="","",IF(AND(M161="",TODAY()&gt;K161),"OVERDUE",IF(AND(M161&lt;&gt;"",M161&gt;K161),"CLOSED LATE","")))</f>
        <v/>
      </c>
      <c r="P161" s="13" t="n"/>
      <c r="Q161" s="12" t="n"/>
      <c r="R161" s="12" t="n"/>
      <c r="S161" s="12" t="n"/>
      <c r="T161" s="13" t="n"/>
    </row>
    <row r="162">
      <c r="A162" s="10" t="n"/>
      <c r="B162" s="11" t="n"/>
      <c r="C162" s="12" t="n"/>
      <c r="D162" s="12" t="n"/>
      <c r="E162" s="13" t="n"/>
      <c r="F162" s="13" t="n"/>
      <c r="G162" s="13" t="n"/>
      <c r="H162" s="13" t="n"/>
      <c r="I162" s="12" t="n"/>
      <c r="J162" s="12" t="n"/>
      <c r="K162" s="11" t="n"/>
      <c r="L162" s="12" t="n"/>
      <c r="M162" s="11" t="n"/>
      <c r="N162" s="14">
        <f>IF(A162="","",IF(M162&lt;&gt;"",M162-B162,TODAY()-B162))</f>
        <v/>
      </c>
      <c r="O162" s="14">
        <f>IF(A162="","",IF(AND(M162="",TODAY()&gt;K162),"OVERDUE",IF(AND(M162&lt;&gt;"",M162&gt;K162),"CLOSED LATE","")))</f>
        <v/>
      </c>
      <c r="P162" s="13" t="n"/>
      <c r="Q162" s="12" t="n"/>
      <c r="R162" s="12" t="n"/>
      <c r="S162" s="12" t="n"/>
      <c r="T162" s="13" t="n"/>
    </row>
    <row r="163">
      <c r="A163" s="10" t="n"/>
      <c r="B163" s="11" t="n"/>
      <c r="C163" s="12" t="n"/>
      <c r="D163" s="12" t="n"/>
      <c r="E163" s="13" t="n"/>
      <c r="F163" s="13" t="n"/>
      <c r="G163" s="13" t="n"/>
      <c r="H163" s="13" t="n"/>
      <c r="I163" s="12" t="n"/>
      <c r="J163" s="12" t="n"/>
      <c r="K163" s="11" t="n"/>
      <c r="L163" s="12" t="n"/>
      <c r="M163" s="11" t="n"/>
      <c r="N163" s="14">
        <f>IF(A163="","",IF(M163&lt;&gt;"",M163-B163,TODAY()-B163))</f>
        <v/>
      </c>
      <c r="O163" s="14">
        <f>IF(A163="","",IF(AND(M163="",TODAY()&gt;K163),"OVERDUE",IF(AND(M163&lt;&gt;"",M163&gt;K163),"CLOSED LATE","")))</f>
        <v/>
      </c>
      <c r="P163" s="13" t="n"/>
      <c r="Q163" s="12" t="n"/>
      <c r="R163" s="12" t="n"/>
      <c r="S163" s="12" t="n"/>
      <c r="T163" s="13" t="n"/>
    </row>
    <row r="164">
      <c r="A164" s="10" t="n"/>
      <c r="B164" s="11" t="n"/>
      <c r="C164" s="12" t="n"/>
      <c r="D164" s="12" t="n"/>
      <c r="E164" s="13" t="n"/>
      <c r="F164" s="13" t="n"/>
      <c r="G164" s="13" t="n"/>
      <c r="H164" s="13" t="n"/>
      <c r="I164" s="12" t="n"/>
      <c r="J164" s="12" t="n"/>
      <c r="K164" s="11" t="n"/>
      <c r="L164" s="12" t="n"/>
      <c r="M164" s="11" t="n"/>
      <c r="N164" s="14">
        <f>IF(A164="","",IF(M164&lt;&gt;"",M164-B164,TODAY()-B164))</f>
        <v/>
      </c>
      <c r="O164" s="14">
        <f>IF(A164="","",IF(AND(M164="",TODAY()&gt;K164),"OVERDUE",IF(AND(M164&lt;&gt;"",M164&gt;K164),"CLOSED LATE","")))</f>
        <v/>
      </c>
      <c r="P164" s="13" t="n"/>
      <c r="Q164" s="12" t="n"/>
      <c r="R164" s="12" t="n"/>
      <c r="S164" s="12" t="n"/>
      <c r="T164" s="13" t="n"/>
    </row>
    <row r="165">
      <c r="A165" s="10" t="n"/>
      <c r="B165" s="11" t="n"/>
      <c r="C165" s="12" t="n"/>
      <c r="D165" s="12" t="n"/>
      <c r="E165" s="13" t="n"/>
      <c r="F165" s="13" t="n"/>
      <c r="G165" s="13" t="n"/>
      <c r="H165" s="13" t="n"/>
      <c r="I165" s="12" t="n"/>
      <c r="J165" s="12" t="n"/>
      <c r="K165" s="11" t="n"/>
      <c r="L165" s="12" t="n"/>
      <c r="M165" s="11" t="n"/>
      <c r="N165" s="14">
        <f>IF(A165="","",IF(M165&lt;&gt;"",M165-B165,TODAY()-B165))</f>
        <v/>
      </c>
      <c r="O165" s="14">
        <f>IF(A165="","",IF(AND(M165="",TODAY()&gt;K165),"OVERDUE",IF(AND(M165&lt;&gt;"",M165&gt;K165),"CLOSED LATE","")))</f>
        <v/>
      </c>
      <c r="P165" s="13" t="n"/>
      <c r="Q165" s="12" t="n"/>
      <c r="R165" s="12" t="n"/>
      <c r="S165" s="12" t="n"/>
      <c r="T165" s="13" t="n"/>
    </row>
    <row r="166">
      <c r="A166" s="10" t="n"/>
      <c r="B166" s="11" t="n"/>
      <c r="C166" s="12" t="n"/>
      <c r="D166" s="12" t="n"/>
      <c r="E166" s="13" t="n"/>
      <c r="F166" s="13" t="n"/>
      <c r="G166" s="13" t="n"/>
      <c r="H166" s="13" t="n"/>
      <c r="I166" s="12" t="n"/>
      <c r="J166" s="12" t="n"/>
      <c r="K166" s="11" t="n"/>
      <c r="L166" s="12" t="n"/>
      <c r="M166" s="11" t="n"/>
      <c r="N166" s="14">
        <f>IF(A166="","",IF(M166&lt;&gt;"",M166-B166,TODAY()-B166))</f>
        <v/>
      </c>
      <c r="O166" s="14">
        <f>IF(A166="","",IF(AND(M166="",TODAY()&gt;K166),"OVERDUE",IF(AND(M166&lt;&gt;"",M166&gt;K166),"CLOSED LATE","")))</f>
        <v/>
      </c>
      <c r="P166" s="13" t="n"/>
      <c r="Q166" s="12" t="n"/>
      <c r="R166" s="12" t="n"/>
      <c r="S166" s="12" t="n"/>
      <c r="T166" s="13" t="n"/>
    </row>
    <row r="167">
      <c r="A167" s="10" t="n"/>
      <c r="B167" s="11" t="n"/>
      <c r="C167" s="12" t="n"/>
      <c r="D167" s="12" t="n"/>
      <c r="E167" s="13" t="n"/>
      <c r="F167" s="13" t="n"/>
      <c r="G167" s="13" t="n"/>
      <c r="H167" s="13" t="n"/>
      <c r="I167" s="12" t="n"/>
      <c r="J167" s="12" t="n"/>
      <c r="K167" s="11" t="n"/>
      <c r="L167" s="12" t="n"/>
      <c r="M167" s="11" t="n"/>
      <c r="N167" s="14">
        <f>IF(A167="","",IF(M167&lt;&gt;"",M167-B167,TODAY()-B167))</f>
        <v/>
      </c>
      <c r="O167" s="14">
        <f>IF(A167="","",IF(AND(M167="",TODAY()&gt;K167),"OVERDUE",IF(AND(M167&lt;&gt;"",M167&gt;K167),"CLOSED LATE","")))</f>
        <v/>
      </c>
      <c r="P167" s="13" t="n"/>
      <c r="Q167" s="12" t="n"/>
      <c r="R167" s="12" t="n"/>
      <c r="S167" s="12" t="n"/>
      <c r="T167" s="13" t="n"/>
    </row>
    <row r="168">
      <c r="A168" s="10" t="n"/>
      <c r="B168" s="11" t="n"/>
      <c r="C168" s="12" t="n"/>
      <c r="D168" s="12" t="n"/>
      <c r="E168" s="13" t="n"/>
      <c r="F168" s="13" t="n"/>
      <c r="G168" s="13" t="n"/>
      <c r="H168" s="13" t="n"/>
      <c r="I168" s="12" t="n"/>
      <c r="J168" s="12" t="n"/>
      <c r="K168" s="11" t="n"/>
      <c r="L168" s="12" t="n"/>
      <c r="M168" s="11" t="n"/>
      <c r="N168" s="14">
        <f>IF(A168="","",IF(M168&lt;&gt;"",M168-B168,TODAY()-B168))</f>
        <v/>
      </c>
      <c r="O168" s="14">
        <f>IF(A168="","",IF(AND(M168="",TODAY()&gt;K168),"OVERDUE",IF(AND(M168&lt;&gt;"",M168&gt;K168),"CLOSED LATE","")))</f>
        <v/>
      </c>
      <c r="P168" s="13" t="n"/>
      <c r="Q168" s="12" t="n"/>
      <c r="R168" s="12" t="n"/>
      <c r="S168" s="12" t="n"/>
      <c r="T168" s="13" t="n"/>
    </row>
    <row r="169">
      <c r="A169" s="10" t="n"/>
      <c r="B169" s="11" t="n"/>
      <c r="C169" s="12" t="n"/>
      <c r="D169" s="12" t="n"/>
      <c r="E169" s="13" t="n"/>
      <c r="F169" s="13" t="n"/>
      <c r="G169" s="13" t="n"/>
      <c r="H169" s="13" t="n"/>
      <c r="I169" s="12" t="n"/>
      <c r="J169" s="12" t="n"/>
      <c r="K169" s="11" t="n"/>
      <c r="L169" s="12" t="n"/>
      <c r="M169" s="11" t="n"/>
      <c r="N169" s="14">
        <f>IF(A169="","",IF(M169&lt;&gt;"",M169-B169,TODAY()-B169))</f>
        <v/>
      </c>
      <c r="O169" s="14">
        <f>IF(A169="","",IF(AND(M169="",TODAY()&gt;K169),"OVERDUE",IF(AND(M169&lt;&gt;"",M169&gt;K169),"CLOSED LATE","")))</f>
        <v/>
      </c>
      <c r="P169" s="13" t="n"/>
      <c r="Q169" s="12" t="n"/>
      <c r="R169" s="12" t="n"/>
      <c r="S169" s="12" t="n"/>
      <c r="T169" s="13" t="n"/>
    </row>
    <row r="170">
      <c r="A170" s="10" t="n"/>
      <c r="B170" s="11" t="n"/>
      <c r="C170" s="12" t="n"/>
      <c r="D170" s="12" t="n"/>
      <c r="E170" s="13" t="n"/>
      <c r="F170" s="13" t="n"/>
      <c r="G170" s="13" t="n"/>
      <c r="H170" s="13" t="n"/>
      <c r="I170" s="12" t="n"/>
      <c r="J170" s="12" t="n"/>
      <c r="K170" s="11" t="n"/>
      <c r="L170" s="12" t="n"/>
      <c r="M170" s="11" t="n"/>
      <c r="N170" s="14">
        <f>IF(A170="","",IF(M170&lt;&gt;"",M170-B170,TODAY()-B170))</f>
        <v/>
      </c>
      <c r="O170" s="14">
        <f>IF(A170="","",IF(AND(M170="",TODAY()&gt;K170),"OVERDUE",IF(AND(M170&lt;&gt;"",M170&gt;K170),"CLOSED LATE","")))</f>
        <v/>
      </c>
      <c r="P170" s="13" t="n"/>
      <c r="Q170" s="12" t="n"/>
      <c r="R170" s="12" t="n"/>
      <c r="S170" s="12" t="n"/>
      <c r="T170" s="13" t="n"/>
    </row>
    <row r="171">
      <c r="A171" s="10" t="n"/>
      <c r="B171" s="11" t="n"/>
      <c r="C171" s="12" t="n"/>
      <c r="D171" s="12" t="n"/>
      <c r="E171" s="13" t="n"/>
      <c r="F171" s="13" t="n"/>
      <c r="G171" s="13" t="n"/>
      <c r="H171" s="13" t="n"/>
      <c r="I171" s="12" t="n"/>
      <c r="J171" s="12" t="n"/>
      <c r="K171" s="11" t="n"/>
      <c r="L171" s="12" t="n"/>
      <c r="M171" s="11" t="n"/>
      <c r="N171" s="14">
        <f>IF(A171="","",IF(M171&lt;&gt;"",M171-B171,TODAY()-B171))</f>
        <v/>
      </c>
      <c r="O171" s="14">
        <f>IF(A171="","",IF(AND(M171="",TODAY()&gt;K171),"OVERDUE",IF(AND(M171&lt;&gt;"",M171&gt;K171),"CLOSED LATE","")))</f>
        <v/>
      </c>
      <c r="P171" s="13" t="n"/>
      <c r="Q171" s="12" t="n"/>
      <c r="R171" s="12" t="n"/>
      <c r="S171" s="12" t="n"/>
      <c r="T171" s="13" t="n"/>
    </row>
    <row r="172">
      <c r="A172" s="10" t="n"/>
      <c r="B172" s="11" t="n"/>
      <c r="C172" s="12" t="n"/>
      <c r="D172" s="12" t="n"/>
      <c r="E172" s="13" t="n"/>
      <c r="F172" s="13" t="n"/>
      <c r="G172" s="13" t="n"/>
      <c r="H172" s="13" t="n"/>
      <c r="I172" s="12" t="n"/>
      <c r="J172" s="12" t="n"/>
      <c r="K172" s="11" t="n"/>
      <c r="L172" s="12" t="n"/>
      <c r="M172" s="11" t="n"/>
      <c r="N172" s="14">
        <f>IF(A172="","",IF(M172&lt;&gt;"",M172-B172,TODAY()-B172))</f>
        <v/>
      </c>
      <c r="O172" s="14">
        <f>IF(A172="","",IF(AND(M172="",TODAY()&gt;K172),"OVERDUE",IF(AND(M172&lt;&gt;"",M172&gt;K172),"CLOSED LATE","")))</f>
        <v/>
      </c>
      <c r="P172" s="13" t="n"/>
      <c r="Q172" s="12" t="n"/>
      <c r="R172" s="12" t="n"/>
      <c r="S172" s="12" t="n"/>
      <c r="T172" s="13" t="n"/>
    </row>
    <row r="173">
      <c r="A173" s="10" t="n"/>
      <c r="B173" s="11" t="n"/>
      <c r="C173" s="12" t="n"/>
      <c r="D173" s="12" t="n"/>
      <c r="E173" s="13" t="n"/>
      <c r="F173" s="13" t="n"/>
      <c r="G173" s="13" t="n"/>
      <c r="H173" s="13" t="n"/>
      <c r="I173" s="12" t="n"/>
      <c r="J173" s="12" t="n"/>
      <c r="K173" s="11" t="n"/>
      <c r="L173" s="12" t="n"/>
      <c r="M173" s="11" t="n"/>
      <c r="N173" s="14">
        <f>IF(A173="","",IF(M173&lt;&gt;"",M173-B173,TODAY()-B173))</f>
        <v/>
      </c>
      <c r="O173" s="14">
        <f>IF(A173="","",IF(AND(M173="",TODAY()&gt;K173),"OVERDUE",IF(AND(M173&lt;&gt;"",M173&gt;K173),"CLOSED LATE","")))</f>
        <v/>
      </c>
      <c r="P173" s="13" t="n"/>
      <c r="Q173" s="12" t="n"/>
      <c r="R173" s="12" t="n"/>
      <c r="S173" s="12" t="n"/>
      <c r="T173" s="13" t="n"/>
    </row>
    <row r="174">
      <c r="A174" s="10" t="n"/>
      <c r="B174" s="11" t="n"/>
      <c r="C174" s="12" t="n"/>
      <c r="D174" s="12" t="n"/>
      <c r="E174" s="13" t="n"/>
      <c r="F174" s="13" t="n"/>
      <c r="G174" s="13" t="n"/>
      <c r="H174" s="13" t="n"/>
      <c r="I174" s="12" t="n"/>
      <c r="J174" s="12" t="n"/>
      <c r="K174" s="11" t="n"/>
      <c r="L174" s="12" t="n"/>
      <c r="M174" s="11" t="n"/>
      <c r="N174" s="14">
        <f>IF(A174="","",IF(M174&lt;&gt;"",M174-B174,TODAY()-B174))</f>
        <v/>
      </c>
      <c r="O174" s="14">
        <f>IF(A174="","",IF(AND(M174="",TODAY()&gt;K174),"OVERDUE",IF(AND(M174&lt;&gt;"",M174&gt;K174),"CLOSED LATE","")))</f>
        <v/>
      </c>
      <c r="P174" s="13" t="n"/>
      <c r="Q174" s="12" t="n"/>
      <c r="R174" s="12" t="n"/>
      <c r="S174" s="12" t="n"/>
      <c r="T174" s="13" t="n"/>
    </row>
    <row r="175">
      <c r="A175" s="10" t="n"/>
      <c r="B175" s="11" t="n"/>
      <c r="C175" s="12" t="n"/>
      <c r="D175" s="12" t="n"/>
      <c r="E175" s="13" t="n"/>
      <c r="F175" s="13" t="n"/>
      <c r="G175" s="13" t="n"/>
      <c r="H175" s="13" t="n"/>
      <c r="I175" s="12" t="n"/>
      <c r="J175" s="12" t="n"/>
      <c r="K175" s="11" t="n"/>
      <c r="L175" s="12" t="n"/>
      <c r="M175" s="11" t="n"/>
      <c r="N175" s="14">
        <f>IF(A175="","",IF(M175&lt;&gt;"",M175-B175,TODAY()-B175))</f>
        <v/>
      </c>
      <c r="O175" s="14">
        <f>IF(A175="","",IF(AND(M175="",TODAY()&gt;K175),"OVERDUE",IF(AND(M175&lt;&gt;"",M175&gt;K175),"CLOSED LATE","")))</f>
        <v/>
      </c>
      <c r="P175" s="13" t="n"/>
      <c r="Q175" s="12" t="n"/>
      <c r="R175" s="12" t="n"/>
      <c r="S175" s="12" t="n"/>
      <c r="T175" s="13" t="n"/>
    </row>
    <row r="176">
      <c r="A176" s="10" t="n"/>
      <c r="B176" s="11" t="n"/>
      <c r="C176" s="12" t="n"/>
      <c r="D176" s="12" t="n"/>
      <c r="E176" s="13" t="n"/>
      <c r="F176" s="13" t="n"/>
      <c r="G176" s="13" t="n"/>
      <c r="H176" s="13" t="n"/>
      <c r="I176" s="12" t="n"/>
      <c r="J176" s="12" t="n"/>
      <c r="K176" s="11" t="n"/>
      <c r="L176" s="12" t="n"/>
      <c r="M176" s="11" t="n"/>
      <c r="N176" s="14">
        <f>IF(A176="","",IF(M176&lt;&gt;"",M176-B176,TODAY()-B176))</f>
        <v/>
      </c>
      <c r="O176" s="14">
        <f>IF(A176="","",IF(AND(M176="",TODAY()&gt;K176),"OVERDUE",IF(AND(M176&lt;&gt;"",M176&gt;K176),"CLOSED LATE","")))</f>
        <v/>
      </c>
      <c r="P176" s="13" t="n"/>
      <c r="Q176" s="12" t="n"/>
      <c r="R176" s="12" t="n"/>
      <c r="S176" s="12" t="n"/>
      <c r="T176" s="13" t="n"/>
    </row>
    <row r="177">
      <c r="A177" s="10" t="n"/>
      <c r="B177" s="11" t="n"/>
      <c r="C177" s="12" t="n"/>
      <c r="D177" s="12" t="n"/>
      <c r="E177" s="13" t="n"/>
      <c r="F177" s="13" t="n"/>
      <c r="G177" s="13" t="n"/>
      <c r="H177" s="13" t="n"/>
      <c r="I177" s="12" t="n"/>
      <c r="J177" s="12" t="n"/>
      <c r="K177" s="11" t="n"/>
      <c r="L177" s="12" t="n"/>
      <c r="M177" s="11" t="n"/>
      <c r="N177" s="14">
        <f>IF(A177="","",IF(M177&lt;&gt;"",M177-B177,TODAY()-B177))</f>
        <v/>
      </c>
      <c r="O177" s="14">
        <f>IF(A177="","",IF(AND(M177="",TODAY()&gt;K177),"OVERDUE",IF(AND(M177&lt;&gt;"",M177&gt;K177),"CLOSED LATE","")))</f>
        <v/>
      </c>
      <c r="P177" s="13" t="n"/>
      <c r="Q177" s="12" t="n"/>
      <c r="R177" s="12" t="n"/>
      <c r="S177" s="12" t="n"/>
      <c r="T177" s="13" t="n"/>
    </row>
    <row r="178">
      <c r="A178" s="10" t="n"/>
      <c r="B178" s="11" t="n"/>
      <c r="C178" s="12" t="n"/>
      <c r="D178" s="12" t="n"/>
      <c r="E178" s="13" t="n"/>
      <c r="F178" s="13" t="n"/>
      <c r="G178" s="13" t="n"/>
      <c r="H178" s="13" t="n"/>
      <c r="I178" s="12" t="n"/>
      <c r="J178" s="12" t="n"/>
      <c r="K178" s="11" t="n"/>
      <c r="L178" s="12" t="n"/>
      <c r="M178" s="11" t="n"/>
      <c r="N178" s="14">
        <f>IF(A178="","",IF(M178&lt;&gt;"",M178-B178,TODAY()-B178))</f>
        <v/>
      </c>
      <c r="O178" s="14">
        <f>IF(A178="","",IF(AND(M178="",TODAY()&gt;K178),"OVERDUE",IF(AND(M178&lt;&gt;"",M178&gt;K178),"CLOSED LATE","")))</f>
        <v/>
      </c>
      <c r="P178" s="13" t="n"/>
      <c r="Q178" s="12" t="n"/>
      <c r="R178" s="12" t="n"/>
      <c r="S178" s="12" t="n"/>
      <c r="T178" s="13" t="n"/>
    </row>
    <row r="179">
      <c r="A179" s="10" t="n"/>
      <c r="B179" s="11" t="n"/>
      <c r="C179" s="12" t="n"/>
      <c r="D179" s="12" t="n"/>
      <c r="E179" s="13" t="n"/>
      <c r="F179" s="13" t="n"/>
      <c r="G179" s="13" t="n"/>
      <c r="H179" s="13" t="n"/>
      <c r="I179" s="12" t="n"/>
      <c r="J179" s="12" t="n"/>
      <c r="K179" s="11" t="n"/>
      <c r="L179" s="12" t="n"/>
      <c r="M179" s="11" t="n"/>
      <c r="N179" s="14">
        <f>IF(A179="","",IF(M179&lt;&gt;"",M179-B179,TODAY()-B179))</f>
        <v/>
      </c>
      <c r="O179" s="14">
        <f>IF(A179="","",IF(AND(M179="",TODAY()&gt;K179),"OVERDUE",IF(AND(M179&lt;&gt;"",M179&gt;K179),"CLOSED LATE","")))</f>
        <v/>
      </c>
      <c r="P179" s="13" t="n"/>
      <c r="Q179" s="12" t="n"/>
      <c r="R179" s="12" t="n"/>
      <c r="S179" s="12" t="n"/>
      <c r="T179" s="13" t="n"/>
    </row>
    <row r="180">
      <c r="A180" s="10" t="n"/>
      <c r="B180" s="11" t="n"/>
      <c r="C180" s="12" t="n"/>
      <c r="D180" s="12" t="n"/>
      <c r="E180" s="13" t="n"/>
      <c r="F180" s="13" t="n"/>
      <c r="G180" s="13" t="n"/>
      <c r="H180" s="13" t="n"/>
      <c r="I180" s="12" t="n"/>
      <c r="J180" s="12" t="n"/>
      <c r="K180" s="11" t="n"/>
      <c r="L180" s="12" t="n"/>
      <c r="M180" s="11" t="n"/>
      <c r="N180" s="14">
        <f>IF(A180="","",IF(M180&lt;&gt;"",M180-B180,TODAY()-B180))</f>
        <v/>
      </c>
      <c r="O180" s="14">
        <f>IF(A180="","",IF(AND(M180="",TODAY()&gt;K180),"OVERDUE",IF(AND(M180&lt;&gt;"",M180&gt;K180),"CLOSED LATE","")))</f>
        <v/>
      </c>
      <c r="P180" s="13" t="n"/>
      <c r="Q180" s="12" t="n"/>
      <c r="R180" s="12" t="n"/>
      <c r="S180" s="12" t="n"/>
      <c r="T180" s="13" t="n"/>
    </row>
    <row r="181">
      <c r="A181" s="10" t="n"/>
      <c r="B181" s="11" t="n"/>
      <c r="C181" s="12" t="n"/>
      <c r="D181" s="12" t="n"/>
      <c r="E181" s="13" t="n"/>
      <c r="F181" s="13" t="n"/>
      <c r="G181" s="13" t="n"/>
      <c r="H181" s="13" t="n"/>
      <c r="I181" s="12" t="n"/>
      <c r="J181" s="12" t="n"/>
      <c r="K181" s="11" t="n"/>
      <c r="L181" s="12" t="n"/>
      <c r="M181" s="11" t="n"/>
      <c r="N181" s="14">
        <f>IF(A181="","",IF(M181&lt;&gt;"",M181-B181,TODAY()-B181))</f>
        <v/>
      </c>
      <c r="O181" s="14">
        <f>IF(A181="","",IF(AND(M181="",TODAY()&gt;K181),"OVERDUE",IF(AND(M181&lt;&gt;"",M181&gt;K181),"CLOSED LATE","")))</f>
        <v/>
      </c>
      <c r="P181" s="13" t="n"/>
      <c r="Q181" s="12" t="n"/>
      <c r="R181" s="12" t="n"/>
      <c r="S181" s="12" t="n"/>
      <c r="T181" s="13" t="n"/>
    </row>
    <row r="182">
      <c r="A182" s="10" t="n"/>
      <c r="B182" s="11" t="n"/>
      <c r="C182" s="12" t="n"/>
      <c r="D182" s="12" t="n"/>
      <c r="E182" s="13" t="n"/>
      <c r="F182" s="13" t="n"/>
      <c r="G182" s="13" t="n"/>
      <c r="H182" s="13" t="n"/>
      <c r="I182" s="12" t="n"/>
      <c r="J182" s="12" t="n"/>
      <c r="K182" s="11" t="n"/>
      <c r="L182" s="12" t="n"/>
      <c r="M182" s="11" t="n"/>
      <c r="N182" s="14">
        <f>IF(A182="","",IF(M182&lt;&gt;"",M182-B182,TODAY()-B182))</f>
        <v/>
      </c>
      <c r="O182" s="14">
        <f>IF(A182="","",IF(AND(M182="",TODAY()&gt;K182),"OVERDUE",IF(AND(M182&lt;&gt;"",M182&gt;K182),"CLOSED LATE","")))</f>
        <v/>
      </c>
      <c r="P182" s="13" t="n"/>
      <c r="Q182" s="12" t="n"/>
      <c r="R182" s="12" t="n"/>
      <c r="S182" s="12" t="n"/>
      <c r="T182" s="13" t="n"/>
    </row>
    <row r="183">
      <c r="A183" s="10" t="n"/>
      <c r="B183" s="11" t="n"/>
      <c r="C183" s="12" t="n"/>
      <c r="D183" s="12" t="n"/>
      <c r="E183" s="13" t="n"/>
      <c r="F183" s="13" t="n"/>
      <c r="G183" s="13" t="n"/>
      <c r="H183" s="13" t="n"/>
      <c r="I183" s="12" t="n"/>
      <c r="J183" s="12" t="n"/>
      <c r="K183" s="11" t="n"/>
      <c r="L183" s="12" t="n"/>
      <c r="M183" s="11" t="n"/>
      <c r="N183" s="14">
        <f>IF(A183="","",IF(M183&lt;&gt;"",M183-B183,TODAY()-B183))</f>
        <v/>
      </c>
      <c r="O183" s="14">
        <f>IF(A183="","",IF(AND(M183="",TODAY()&gt;K183),"OVERDUE",IF(AND(M183&lt;&gt;"",M183&gt;K183),"CLOSED LATE","")))</f>
        <v/>
      </c>
      <c r="P183" s="13" t="n"/>
      <c r="Q183" s="12" t="n"/>
      <c r="R183" s="12" t="n"/>
      <c r="S183" s="12" t="n"/>
      <c r="T183" s="13" t="n"/>
    </row>
    <row r="184">
      <c r="A184" s="10" t="n"/>
      <c r="B184" s="11" t="n"/>
      <c r="C184" s="12" t="n"/>
      <c r="D184" s="12" t="n"/>
      <c r="E184" s="13" t="n"/>
      <c r="F184" s="13" t="n"/>
      <c r="G184" s="13" t="n"/>
      <c r="H184" s="13" t="n"/>
      <c r="I184" s="12" t="n"/>
      <c r="J184" s="12" t="n"/>
      <c r="K184" s="11" t="n"/>
      <c r="L184" s="12" t="n"/>
      <c r="M184" s="11" t="n"/>
      <c r="N184" s="14">
        <f>IF(A184="","",IF(M184&lt;&gt;"",M184-B184,TODAY()-B184))</f>
        <v/>
      </c>
      <c r="O184" s="14">
        <f>IF(A184="","",IF(AND(M184="",TODAY()&gt;K184),"OVERDUE",IF(AND(M184&lt;&gt;"",M184&gt;K184),"CLOSED LATE","")))</f>
        <v/>
      </c>
      <c r="P184" s="13" t="n"/>
      <c r="Q184" s="12" t="n"/>
      <c r="R184" s="12" t="n"/>
      <c r="S184" s="12" t="n"/>
      <c r="T184" s="13" t="n"/>
    </row>
    <row r="185">
      <c r="A185" s="10" t="n"/>
      <c r="B185" s="11" t="n"/>
      <c r="C185" s="12" t="n"/>
      <c r="D185" s="12" t="n"/>
      <c r="E185" s="13" t="n"/>
      <c r="F185" s="13" t="n"/>
      <c r="G185" s="13" t="n"/>
      <c r="H185" s="13" t="n"/>
      <c r="I185" s="12" t="n"/>
      <c r="J185" s="12" t="n"/>
      <c r="K185" s="11" t="n"/>
      <c r="L185" s="12" t="n"/>
      <c r="M185" s="11" t="n"/>
      <c r="N185" s="14">
        <f>IF(A185="","",IF(M185&lt;&gt;"",M185-B185,TODAY()-B185))</f>
        <v/>
      </c>
      <c r="O185" s="14">
        <f>IF(A185="","",IF(AND(M185="",TODAY()&gt;K185),"OVERDUE",IF(AND(M185&lt;&gt;"",M185&gt;K185),"CLOSED LATE","")))</f>
        <v/>
      </c>
      <c r="P185" s="13" t="n"/>
      <c r="Q185" s="12" t="n"/>
      <c r="R185" s="12" t="n"/>
      <c r="S185" s="12" t="n"/>
      <c r="T185" s="13" t="n"/>
    </row>
    <row r="186">
      <c r="A186" s="10" t="n"/>
      <c r="B186" s="11" t="n"/>
      <c r="C186" s="12" t="n"/>
      <c r="D186" s="12" t="n"/>
      <c r="E186" s="13" t="n"/>
      <c r="F186" s="13" t="n"/>
      <c r="G186" s="13" t="n"/>
      <c r="H186" s="13" t="n"/>
      <c r="I186" s="12" t="n"/>
      <c r="J186" s="12" t="n"/>
      <c r="K186" s="11" t="n"/>
      <c r="L186" s="12" t="n"/>
      <c r="M186" s="11" t="n"/>
      <c r="N186" s="14">
        <f>IF(A186="","",IF(M186&lt;&gt;"",M186-B186,TODAY()-B186))</f>
        <v/>
      </c>
      <c r="O186" s="14">
        <f>IF(A186="","",IF(AND(M186="",TODAY()&gt;K186),"OVERDUE",IF(AND(M186&lt;&gt;"",M186&gt;K186),"CLOSED LATE","")))</f>
        <v/>
      </c>
      <c r="P186" s="13" t="n"/>
      <c r="Q186" s="12" t="n"/>
      <c r="R186" s="12" t="n"/>
      <c r="S186" s="12" t="n"/>
      <c r="T186" s="13" t="n"/>
    </row>
    <row r="187">
      <c r="A187" s="10" t="n"/>
      <c r="B187" s="11" t="n"/>
      <c r="C187" s="12" t="n"/>
      <c r="D187" s="12" t="n"/>
      <c r="E187" s="13" t="n"/>
      <c r="F187" s="13" t="n"/>
      <c r="G187" s="13" t="n"/>
      <c r="H187" s="13" t="n"/>
      <c r="I187" s="12" t="n"/>
      <c r="J187" s="12" t="n"/>
      <c r="K187" s="11" t="n"/>
      <c r="L187" s="12" t="n"/>
      <c r="M187" s="11" t="n"/>
      <c r="N187" s="14">
        <f>IF(A187="","",IF(M187&lt;&gt;"",M187-B187,TODAY()-B187))</f>
        <v/>
      </c>
      <c r="O187" s="14">
        <f>IF(A187="","",IF(AND(M187="",TODAY()&gt;K187),"OVERDUE",IF(AND(M187&lt;&gt;"",M187&gt;K187),"CLOSED LATE","")))</f>
        <v/>
      </c>
      <c r="P187" s="13" t="n"/>
      <c r="Q187" s="12" t="n"/>
      <c r="R187" s="12" t="n"/>
      <c r="S187" s="12" t="n"/>
      <c r="T187" s="13" t="n"/>
    </row>
    <row r="188">
      <c r="A188" s="10" t="n"/>
      <c r="B188" s="11" t="n"/>
      <c r="C188" s="12" t="n"/>
      <c r="D188" s="12" t="n"/>
      <c r="E188" s="13" t="n"/>
      <c r="F188" s="13" t="n"/>
      <c r="G188" s="13" t="n"/>
      <c r="H188" s="13" t="n"/>
      <c r="I188" s="12" t="n"/>
      <c r="J188" s="12" t="n"/>
      <c r="K188" s="11" t="n"/>
      <c r="L188" s="12" t="n"/>
      <c r="M188" s="11" t="n"/>
      <c r="N188" s="14">
        <f>IF(A188="","",IF(M188&lt;&gt;"",M188-B188,TODAY()-B188))</f>
        <v/>
      </c>
      <c r="O188" s="14">
        <f>IF(A188="","",IF(AND(M188="",TODAY()&gt;K188),"OVERDUE",IF(AND(M188&lt;&gt;"",M188&gt;K188),"CLOSED LATE","")))</f>
        <v/>
      </c>
      <c r="P188" s="13" t="n"/>
      <c r="Q188" s="12" t="n"/>
      <c r="R188" s="12" t="n"/>
      <c r="S188" s="12" t="n"/>
      <c r="T188" s="13" t="n"/>
    </row>
    <row r="189">
      <c r="A189" s="10" t="n"/>
      <c r="B189" s="11" t="n"/>
      <c r="C189" s="12" t="n"/>
      <c r="D189" s="12" t="n"/>
      <c r="E189" s="13" t="n"/>
      <c r="F189" s="13" t="n"/>
      <c r="G189" s="13" t="n"/>
      <c r="H189" s="13" t="n"/>
      <c r="I189" s="12" t="n"/>
      <c r="J189" s="12" t="n"/>
      <c r="K189" s="11" t="n"/>
      <c r="L189" s="12" t="n"/>
      <c r="M189" s="11" t="n"/>
      <c r="N189" s="14">
        <f>IF(A189="","",IF(M189&lt;&gt;"",M189-B189,TODAY()-B189))</f>
        <v/>
      </c>
      <c r="O189" s="14">
        <f>IF(A189="","",IF(AND(M189="",TODAY()&gt;K189),"OVERDUE",IF(AND(M189&lt;&gt;"",M189&gt;K189),"CLOSED LATE","")))</f>
        <v/>
      </c>
      <c r="P189" s="13" t="n"/>
      <c r="Q189" s="12" t="n"/>
      <c r="R189" s="12" t="n"/>
      <c r="S189" s="12" t="n"/>
      <c r="T189" s="13" t="n"/>
    </row>
    <row r="190">
      <c r="A190" s="10" t="n"/>
      <c r="B190" s="11" t="n"/>
      <c r="C190" s="12" t="n"/>
      <c r="D190" s="12" t="n"/>
      <c r="E190" s="13" t="n"/>
      <c r="F190" s="13" t="n"/>
      <c r="G190" s="13" t="n"/>
      <c r="H190" s="13" t="n"/>
      <c r="I190" s="12" t="n"/>
      <c r="J190" s="12" t="n"/>
      <c r="K190" s="11" t="n"/>
      <c r="L190" s="12" t="n"/>
      <c r="M190" s="11" t="n"/>
      <c r="N190" s="14">
        <f>IF(A190="","",IF(M190&lt;&gt;"",M190-B190,TODAY()-B190))</f>
        <v/>
      </c>
      <c r="O190" s="14">
        <f>IF(A190="","",IF(AND(M190="",TODAY()&gt;K190),"OVERDUE",IF(AND(M190&lt;&gt;"",M190&gt;K190),"CLOSED LATE","")))</f>
        <v/>
      </c>
      <c r="P190" s="13" t="n"/>
      <c r="Q190" s="12" t="n"/>
      <c r="R190" s="12" t="n"/>
      <c r="S190" s="12" t="n"/>
      <c r="T190" s="13" t="n"/>
    </row>
    <row r="191">
      <c r="A191" s="10" t="n"/>
      <c r="B191" s="11" t="n"/>
      <c r="C191" s="12" t="n"/>
      <c r="D191" s="12" t="n"/>
      <c r="E191" s="13" t="n"/>
      <c r="F191" s="13" t="n"/>
      <c r="G191" s="13" t="n"/>
      <c r="H191" s="13" t="n"/>
      <c r="I191" s="12" t="n"/>
      <c r="J191" s="12" t="n"/>
      <c r="K191" s="11" t="n"/>
      <c r="L191" s="12" t="n"/>
      <c r="M191" s="11" t="n"/>
      <c r="N191" s="14">
        <f>IF(A191="","",IF(M191&lt;&gt;"",M191-B191,TODAY()-B191))</f>
        <v/>
      </c>
      <c r="O191" s="14">
        <f>IF(A191="","",IF(AND(M191="",TODAY()&gt;K191),"OVERDUE",IF(AND(M191&lt;&gt;"",M191&gt;K191),"CLOSED LATE","")))</f>
        <v/>
      </c>
      <c r="P191" s="13" t="n"/>
      <c r="Q191" s="12" t="n"/>
      <c r="R191" s="12" t="n"/>
      <c r="S191" s="12" t="n"/>
      <c r="T191" s="13" t="n"/>
    </row>
    <row r="192">
      <c r="A192" s="10" t="n"/>
      <c r="B192" s="11" t="n"/>
      <c r="C192" s="12" t="n"/>
      <c r="D192" s="12" t="n"/>
      <c r="E192" s="13" t="n"/>
      <c r="F192" s="13" t="n"/>
      <c r="G192" s="13" t="n"/>
      <c r="H192" s="13" t="n"/>
      <c r="I192" s="12" t="n"/>
      <c r="J192" s="12" t="n"/>
      <c r="K192" s="11" t="n"/>
      <c r="L192" s="12" t="n"/>
      <c r="M192" s="11" t="n"/>
      <c r="N192" s="14">
        <f>IF(A192="","",IF(M192&lt;&gt;"",M192-B192,TODAY()-B192))</f>
        <v/>
      </c>
      <c r="O192" s="14">
        <f>IF(A192="","",IF(AND(M192="",TODAY()&gt;K192),"OVERDUE",IF(AND(M192&lt;&gt;"",M192&gt;K192),"CLOSED LATE","")))</f>
        <v/>
      </c>
      <c r="P192" s="13" t="n"/>
      <c r="Q192" s="12" t="n"/>
      <c r="R192" s="12" t="n"/>
      <c r="S192" s="12" t="n"/>
      <c r="T192" s="13" t="n"/>
    </row>
    <row r="193">
      <c r="A193" s="10" t="n"/>
      <c r="B193" s="11" t="n"/>
      <c r="C193" s="12" t="n"/>
      <c r="D193" s="12" t="n"/>
      <c r="E193" s="13" t="n"/>
      <c r="F193" s="13" t="n"/>
      <c r="G193" s="13" t="n"/>
      <c r="H193" s="13" t="n"/>
      <c r="I193" s="12" t="n"/>
      <c r="J193" s="12" t="n"/>
      <c r="K193" s="11" t="n"/>
      <c r="L193" s="12" t="n"/>
      <c r="M193" s="11" t="n"/>
      <c r="N193" s="14">
        <f>IF(A193="","",IF(M193&lt;&gt;"",M193-B193,TODAY()-B193))</f>
        <v/>
      </c>
      <c r="O193" s="14">
        <f>IF(A193="","",IF(AND(M193="",TODAY()&gt;K193),"OVERDUE",IF(AND(M193&lt;&gt;"",M193&gt;K193),"CLOSED LATE","")))</f>
        <v/>
      </c>
      <c r="P193" s="13" t="n"/>
      <c r="Q193" s="12" t="n"/>
      <c r="R193" s="12" t="n"/>
      <c r="S193" s="12" t="n"/>
      <c r="T193" s="13" t="n"/>
    </row>
    <row r="194">
      <c r="A194" s="10" t="n"/>
      <c r="B194" s="11" t="n"/>
      <c r="C194" s="12" t="n"/>
      <c r="D194" s="12" t="n"/>
      <c r="E194" s="13" t="n"/>
      <c r="F194" s="13" t="n"/>
      <c r="G194" s="13" t="n"/>
      <c r="H194" s="13" t="n"/>
      <c r="I194" s="12" t="n"/>
      <c r="J194" s="12" t="n"/>
      <c r="K194" s="11" t="n"/>
      <c r="L194" s="12" t="n"/>
      <c r="M194" s="11" t="n"/>
      <c r="N194" s="14">
        <f>IF(A194="","",IF(M194&lt;&gt;"",M194-B194,TODAY()-B194))</f>
        <v/>
      </c>
      <c r="O194" s="14">
        <f>IF(A194="","",IF(AND(M194="",TODAY()&gt;K194),"OVERDUE",IF(AND(M194&lt;&gt;"",M194&gt;K194),"CLOSED LATE","")))</f>
        <v/>
      </c>
      <c r="P194" s="13" t="n"/>
      <c r="Q194" s="12" t="n"/>
      <c r="R194" s="12" t="n"/>
      <c r="S194" s="12" t="n"/>
      <c r="T194" s="13" t="n"/>
    </row>
    <row r="195">
      <c r="A195" s="10" t="n"/>
      <c r="B195" s="11" t="n"/>
      <c r="C195" s="12" t="n"/>
      <c r="D195" s="12" t="n"/>
      <c r="E195" s="13" t="n"/>
      <c r="F195" s="13" t="n"/>
      <c r="G195" s="13" t="n"/>
      <c r="H195" s="13" t="n"/>
      <c r="I195" s="12" t="n"/>
      <c r="J195" s="12" t="n"/>
      <c r="K195" s="11" t="n"/>
      <c r="L195" s="12" t="n"/>
      <c r="M195" s="11" t="n"/>
      <c r="N195" s="14">
        <f>IF(A195="","",IF(M195&lt;&gt;"",M195-B195,TODAY()-B195))</f>
        <v/>
      </c>
      <c r="O195" s="14">
        <f>IF(A195="","",IF(AND(M195="",TODAY()&gt;K195),"OVERDUE",IF(AND(M195&lt;&gt;"",M195&gt;K195),"CLOSED LATE","")))</f>
        <v/>
      </c>
      <c r="P195" s="13" t="n"/>
      <c r="Q195" s="12" t="n"/>
      <c r="R195" s="12" t="n"/>
      <c r="S195" s="12" t="n"/>
      <c r="T195" s="13" t="n"/>
    </row>
    <row r="196">
      <c r="A196" s="10" t="n"/>
      <c r="B196" s="11" t="n"/>
      <c r="C196" s="12" t="n"/>
      <c r="D196" s="12" t="n"/>
      <c r="E196" s="13" t="n"/>
      <c r="F196" s="13" t="n"/>
      <c r="G196" s="13" t="n"/>
      <c r="H196" s="13" t="n"/>
      <c r="I196" s="12" t="n"/>
      <c r="J196" s="12" t="n"/>
      <c r="K196" s="11" t="n"/>
      <c r="L196" s="12" t="n"/>
      <c r="M196" s="11" t="n"/>
      <c r="N196" s="14">
        <f>IF(A196="","",IF(M196&lt;&gt;"",M196-B196,TODAY()-B196))</f>
        <v/>
      </c>
      <c r="O196" s="14">
        <f>IF(A196="","",IF(AND(M196="",TODAY()&gt;K196),"OVERDUE",IF(AND(M196&lt;&gt;"",M196&gt;K196),"CLOSED LATE","")))</f>
        <v/>
      </c>
      <c r="P196" s="13" t="n"/>
      <c r="Q196" s="12" t="n"/>
      <c r="R196" s="12" t="n"/>
      <c r="S196" s="12" t="n"/>
      <c r="T196" s="13" t="n"/>
    </row>
    <row r="197">
      <c r="A197" s="10" t="n"/>
      <c r="B197" s="11" t="n"/>
      <c r="C197" s="12" t="n"/>
      <c r="D197" s="12" t="n"/>
      <c r="E197" s="13" t="n"/>
      <c r="F197" s="13" t="n"/>
      <c r="G197" s="13" t="n"/>
      <c r="H197" s="13" t="n"/>
      <c r="I197" s="12" t="n"/>
      <c r="J197" s="12" t="n"/>
      <c r="K197" s="11" t="n"/>
      <c r="L197" s="12" t="n"/>
      <c r="M197" s="11" t="n"/>
      <c r="N197" s="14">
        <f>IF(A197="","",IF(M197&lt;&gt;"",M197-B197,TODAY()-B197))</f>
        <v/>
      </c>
      <c r="O197" s="14">
        <f>IF(A197="","",IF(AND(M197="",TODAY()&gt;K197),"OVERDUE",IF(AND(M197&lt;&gt;"",M197&gt;K197),"CLOSED LATE","")))</f>
        <v/>
      </c>
      <c r="P197" s="13" t="n"/>
      <c r="Q197" s="12" t="n"/>
      <c r="R197" s="12" t="n"/>
      <c r="S197" s="12" t="n"/>
      <c r="T197" s="13" t="n"/>
    </row>
    <row r="198">
      <c r="A198" s="10" t="n"/>
      <c r="B198" s="11" t="n"/>
      <c r="C198" s="12" t="n"/>
      <c r="D198" s="12" t="n"/>
      <c r="E198" s="13" t="n"/>
      <c r="F198" s="13" t="n"/>
      <c r="G198" s="13" t="n"/>
      <c r="H198" s="13" t="n"/>
      <c r="I198" s="12" t="n"/>
      <c r="J198" s="12" t="n"/>
      <c r="K198" s="11" t="n"/>
      <c r="L198" s="12" t="n"/>
      <c r="M198" s="11" t="n"/>
      <c r="N198" s="14">
        <f>IF(A198="","",IF(M198&lt;&gt;"",M198-B198,TODAY()-B198))</f>
        <v/>
      </c>
      <c r="O198" s="14">
        <f>IF(A198="","",IF(AND(M198="",TODAY()&gt;K198),"OVERDUE",IF(AND(M198&lt;&gt;"",M198&gt;K198),"CLOSED LATE","")))</f>
        <v/>
      </c>
      <c r="P198" s="13" t="n"/>
      <c r="Q198" s="12" t="n"/>
      <c r="R198" s="12" t="n"/>
      <c r="S198" s="12" t="n"/>
      <c r="T198" s="13" t="n"/>
    </row>
    <row r="199">
      <c r="A199" s="10" t="n"/>
      <c r="B199" s="11" t="n"/>
      <c r="C199" s="12" t="n"/>
      <c r="D199" s="12" t="n"/>
      <c r="E199" s="13" t="n"/>
      <c r="F199" s="13" t="n"/>
      <c r="G199" s="13" t="n"/>
      <c r="H199" s="13" t="n"/>
      <c r="I199" s="12" t="n"/>
      <c r="J199" s="12" t="n"/>
      <c r="K199" s="11" t="n"/>
      <c r="L199" s="12" t="n"/>
      <c r="M199" s="11" t="n"/>
      <c r="N199" s="14">
        <f>IF(A199="","",IF(M199&lt;&gt;"",M199-B199,TODAY()-B199))</f>
        <v/>
      </c>
      <c r="O199" s="14">
        <f>IF(A199="","",IF(AND(M199="",TODAY()&gt;K199),"OVERDUE",IF(AND(M199&lt;&gt;"",M199&gt;K199),"CLOSED LATE","")))</f>
        <v/>
      </c>
      <c r="P199" s="13" t="n"/>
      <c r="Q199" s="12" t="n"/>
      <c r="R199" s="12" t="n"/>
      <c r="S199" s="12" t="n"/>
      <c r="T199" s="13" t="n"/>
    </row>
    <row r="200">
      <c r="A200" s="10" t="n"/>
      <c r="B200" s="11" t="n"/>
      <c r="C200" s="12" t="n"/>
      <c r="D200" s="12" t="n"/>
      <c r="E200" s="13" t="n"/>
      <c r="F200" s="13" t="n"/>
      <c r="G200" s="13" t="n"/>
      <c r="H200" s="13" t="n"/>
      <c r="I200" s="12" t="n"/>
      <c r="J200" s="12" t="n"/>
      <c r="K200" s="11" t="n"/>
      <c r="L200" s="12" t="n"/>
      <c r="M200" s="11" t="n"/>
      <c r="N200" s="14">
        <f>IF(A200="","",IF(M200&lt;&gt;"",M200-B200,TODAY()-B200))</f>
        <v/>
      </c>
      <c r="O200" s="14">
        <f>IF(A200="","",IF(AND(M200="",TODAY()&gt;K200),"OVERDUE",IF(AND(M200&lt;&gt;"",M200&gt;K200),"CLOSED LATE","")))</f>
        <v/>
      </c>
      <c r="P200" s="13" t="n"/>
      <c r="Q200" s="12" t="n"/>
      <c r="R200" s="12" t="n"/>
      <c r="S200" s="12" t="n"/>
      <c r="T200" s="13" t="n"/>
    </row>
    <row r="201">
      <c r="A201" s="10" t="n"/>
      <c r="B201" s="11" t="n"/>
      <c r="C201" s="12" t="n"/>
      <c r="D201" s="12" t="n"/>
      <c r="E201" s="13" t="n"/>
      <c r="F201" s="13" t="n"/>
      <c r="G201" s="13" t="n"/>
      <c r="H201" s="13" t="n"/>
      <c r="I201" s="12" t="n"/>
      <c r="J201" s="12" t="n"/>
      <c r="K201" s="11" t="n"/>
      <c r="L201" s="12" t="n"/>
      <c r="M201" s="11" t="n"/>
      <c r="N201" s="14">
        <f>IF(A201="","",IF(M201&lt;&gt;"",M201-B201,TODAY()-B201))</f>
        <v/>
      </c>
      <c r="O201" s="14">
        <f>IF(A201="","",IF(AND(M201="",TODAY()&gt;K201),"OVERDUE",IF(AND(M201&lt;&gt;"",M201&gt;K201),"CLOSED LATE","")))</f>
        <v/>
      </c>
      <c r="P201" s="13" t="n"/>
      <c r="Q201" s="12" t="n"/>
      <c r="R201" s="12" t="n"/>
      <c r="S201" s="12" t="n"/>
      <c r="T201" s="13" t="n"/>
    </row>
    <row r="202">
      <c r="A202" s="10" t="n"/>
      <c r="B202" s="11" t="n"/>
      <c r="C202" s="12" t="n"/>
      <c r="D202" s="12" t="n"/>
      <c r="E202" s="13" t="n"/>
      <c r="F202" s="13" t="n"/>
      <c r="G202" s="13" t="n"/>
      <c r="H202" s="13" t="n"/>
      <c r="I202" s="12" t="n"/>
      <c r="J202" s="12" t="n"/>
      <c r="K202" s="11" t="n"/>
      <c r="L202" s="12" t="n"/>
      <c r="M202" s="11" t="n"/>
      <c r="N202" s="14">
        <f>IF(A202="","",IF(M202&lt;&gt;"",M202-B202,TODAY()-B202))</f>
        <v/>
      </c>
      <c r="O202" s="14">
        <f>IF(A202="","",IF(AND(M202="",TODAY()&gt;K202),"OVERDUE",IF(AND(M202&lt;&gt;"",M202&gt;K202),"CLOSED LATE","")))</f>
        <v/>
      </c>
      <c r="P202" s="13" t="n"/>
      <c r="Q202" s="12" t="n"/>
      <c r="R202" s="12" t="n"/>
      <c r="S202" s="12" t="n"/>
      <c r="T202" s="13" t="n"/>
    </row>
    <row r="203">
      <c r="A203" s="10" t="n"/>
      <c r="B203" s="11" t="n"/>
      <c r="C203" s="12" t="n"/>
      <c r="D203" s="12" t="n"/>
      <c r="E203" s="13" t="n"/>
      <c r="F203" s="13" t="n"/>
      <c r="G203" s="13" t="n"/>
      <c r="H203" s="13" t="n"/>
      <c r="I203" s="12" t="n"/>
      <c r="J203" s="12" t="n"/>
      <c r="K203" s="11" t="n"/>
      <c r="L203" s="12" t="n"/>
      <c r="M203" s="11" t="n"/>
      <c r="N203" s="14">
        <f>IF(A203="","",IF(M203&lt;&gt;"",M203-B203,TODAY()-B203))</f>
        <v/>
      </c>
      <c r="O203" s="14">
        <f>IF(A203="","",IF(AND(M203="",TODAY()&gt;K203),"OVERDUE",IF(AND(M203&lt;&gt;"",M203&gt;K203),"CLOSED LATE","")))</f>
        <v/>
      </c>
      <c r="P203" s="13" t="n"/>
      <c r="Q203" s="12" t="n"/>
      <c r="R203" s="12" t="n"/>
      <c r="S203" s="12" t="n"/>
      <c r="T203" s="13" t="n"/>
    </row>
    <row r="204">
      <c r="A204" s="10" t="n"/>
      <c r="B204" s="11" t="n"/>
      <c r="C204" s="12" t="n"/>
      <c r="D204" s="12" t="n"/>
      <c r="E204" s="13" t="n"/>
      <c r="F204" s="13" t="n"/>
      <c r="G204" s="13" t="n"/>
      <c r="H204" s="13" t="n"/>
      <c r="I204" s="12" t="n"/>
      <c r="J204" s="12" t="n"/>
      <c r="K204" s="11" t="n"/>
      <c r="L204" s="12" t="n"/>
      <c r="M204" s="11" t="n"/>
      <c r="N204" s="14">
        <f>IF(A204="","",IF(M204&lt;&gt;"",M204-B204,TODAY()-B204))</f>
        <v/>
      </c>
      <c r="O204" s="14">
        <f>IF(A204="","",IF(AND(M204="",TODAY()&gt;K204),"OVERDUE",IF(AND(M204&lt;&gt;"",M204&gt;K204),"CLOSED LATE","")))</f>
        <v/>
      </c>
      <c r="P204" s="13" t="n"/>
      <c r="Q204" s="12" t="n"/>
      <c r="R204" s="12" t="n"/>
      <c r="S204" s="12" t="n"/>
      <c r="T204" s="13" t="n"/>
    </row>
  </sheetData>
  <autoFilter ref="A4:T204"/>
  <dataValidations count="3">
    <dataValidation sqref="L5:L204" showDropDown="0" showInputMessage="0" showErrorMessage="0" allowBlank="1" type="list">
      <formula1>"Open,Closed,Overdue,Escalated to NCR,Awaiting authority"</formula1>
    </dataValidation>
    <dataValidation sqref="C5:C204" showDropDown="0" showInputMessage="0" showErrorMessage="0" allowBlank="1" type="list">
      <formula1>"Architectural,Structural,Civil,MEP-Electrical,MEP-Mechanical,MEP-Plumbing,Fire and life safety,Survey,Documentation,HSE,Other"</formula1>
    </dataValidation>
    <dataValidation sqref="R5:R20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L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3" customWidth="1" min="4" max="4"/>
    <col width="14" customWidth="1" min="5" max="5"/>
    <col width="18" customWidth="1" min="6" max="6"/>
    <col width="26" customWidth="1" min="7" max="7"/>
    <col width="30" customWidth="1" min="8" max="8"/>
    <col width="26" customWidth="1" min="9" max="9"/>
    <col width="22" customWidth="1" min="10" max="10"/>
    <col width="22" customWidth="1" min="11" max="11"/>
    <col width="20" customWidth="1" min="12" max="12"/>
    <col width="11" customWidth="1" min="13" max="13"/>
    <col width="12" customWidth="1" min="14" max="14"/>
    <col width="15" customWidth="1" min="15" max="15"/>
    <col width="24" customWidth="1" min="16" max="16"/>
    <col width="24" customWidth="1" min="17" max="17"/>
    <col width="24" customWidth="1" min="18" max="18"/>
    <col width="13" customWidth="1" min="19" max="19"/>
    <col width="13" customWidth="1" min="20" max="20"/>
    <col width="20" customWidth="1" min="21" max="21"/>
    <col width="12" customWidth="1" min="22" max="22"/>
    <col width="12" customWidth="1" min="23" max="23"/>
    <col width="14" customWidth="1" min="24" max="24"/>
    <col width="11" customWidth="1" min="25" max="25"/>
    <col width="9" customWidth="1" min="26" max="26"/>
    <col width="12" customWidth="1" min="27" max="27"/>
    <col width="13" customWidth="1" min="28" max="28"/>
    <col width="18" customWidth="1" min="29" max="29"/>
    <col width="12" customWidth="1" min="30" max="30"/>
    <col width="12" customWidth="1" min="31" max="31"/>
    <col width="11" customWidth="1" min="32" max="32"/>
    <col width="12" customWidth="1" min="33" max="33"/>
    <col width="20" customWidth="1" min="34" max="34"/>
    <col width="15" customWidth="1" min="35" max="35"/>
    <col width="7" customWidth="1" min="36" max="36"/>
    <col width="11" customWidth="1" min="37" max="37"/>
    <col width="44" customWidth="1" min="38" max="38"/>
  </cols>
  <sheetData>
    <row r="1" ht="24" customHeight="1">
      <c r="A1" s="1" t="inlineStr">
        <is>
          <t>Non-Conformance Register (NCR)</t>
        </is>
      </c>
    </row>
    <row r="2">
      <c r="A2" s="2" t="inlineStr">
        <is>
          <t>Grey columns calculate automatically. One row per non-conformance, from raising to verified closure.</t>
        </is>
      </c>
    </row>
    <row r="4" ht="46" customHeight="1">
      <c r="A4" s="9" t="inlineStr">
        <is>
          <t>NCR ID</t>
        </is>
      </c>
      <c r="B4" s="9" t="inlineStr">
        <is>
          <t>Date raised</t>
        </is>
      </c>
      <c r="C4" s="9" t="inlineStr">
        <is>
          <t>Class</t>
        </is>
      </c>
      <c r="D4" s="9" t="inlineStr">
        <is>
          <t>Discipline</t>
        </is>
      </c>
      <c r="E4" s="9" t="inlineStr">
        <is>
          <t>Package / area</t>
        </is>
      </c>
      <c r="F4" s="9" t="inlineStr">
        <is>
          <t>Exact location</t>
        </is>
      </c>
      <c r="G4" s="9" t="inlineStr">
        <is>
          <t>NCR subject</t>
        </is>
      </c>
      <c r="H4" s="9" t="inlineStr">
        <is>
          <t>Requirement breached (clause / drawing rev / ITP hold point / code)</t>
        </is>
      </c>
      <c r="I4" s="9" t="inlineStr">
        <is>
          <t>Evidence of non-compliance</t>
        </is>
      </c>
      <c r="J4" s="9" t="inlineStr">
        <is>
          <t>Extent and containment</t>
        </is>
      </c>
      <c r="K4" s="9" t="inlineStr">
        <is>
          <t>Consequence assessment</t>
        </is>
      </c>
      <c r="L4" s="9" t="inlineStr">
        <is>
          <t>Contract / commercial reference</t>
        </is>
      </c>
      <c r="M4" s="9" t="inlineStr">
        <is>
          <t>Date issued</t>
        </is>
      </c>
      <c r="N4" s="9" t="inlineStr">
        <is>
          <t>Acknowledged date</t>
        </is>
      </c>
      <c r="O4" s="9" t="inlineStr">
        <is>
          <t>Contractor owner</t>
        </is>
      </c>
      <c r="P4" s="9" t="inlineStr">
        <is>
          <t>Root cause summary</t>
        </is>
      </c>
      <c r="Q4" s="9" t="inlineStr">
        <is>
          <t>Corrective action</t>
        </is>
      </c>
      <c r="R4" s="9" t="inlineStr">
        <is>
          <t>Preventive action</t>
        </is>
      </c>
      <c r="S4" s="9" t="inlineStr">
        <is>
          <t>Agreed completion date</t>
        </is>
      </c>
      <c r="T4" s="9" t="inlineStr">
        <is>
          <t>Actual rectification date</t>
        </is>
      </c>
      <c r="U4" s="9" t="inlineStr">
        <is>
          <t>Verification method</t>
        </is>
      </c>
      <c r="V4" s="9" t="inlineStr">
        <is>
          <t>Verification date</t>
        </is>
      </c>
      <c r="W4" s="9" t="inlineStr">
        <is>
          <t>Verified by</t>
        </is>
      </c>
      <c r="X4" s="9" t="inlineStr">
        <is>
          <t>Closure certificate reference</t>
        </is>
      </c>
      <c r="Y4" s="9" t="inlineStr">
        <is>
          <t>Closure date</t>
        </is>
      </c>
      <c r="Z4" s="9" t="inlineStr">
        <is>
          <t>Days open</t>
        </is>
      </c>
      <c r="AA4" s="9" t="inlineStr">
        <is>
          <t>Overdue flag</t>
        </is>
      </c>
      <c r="AB4" s="9" t="inlineStr">
        <is>
          <t>Authority-linked?</t>
        </is>
      </c>
      <c r="AC4" s="9" t="inlineStr">
        <is>
          <t>Authority / NOC reference</t>
        </is>
      </c>
      <c r="AD4" s="9" t="inlineStr">
        <is>
          <t>Cost impact (AED)</t>
        </is>
      </c>
      <c r="AE4" s="9" t="inlineStr">
        <is>
          <t>Programme impact (days)</t>
        </is>
      </c>
      <c r="AF4" s="9" t="inlineStr">
        <is>
          <t>Status</t>
        </is>
      </c>
      <c r="AG4" s="9" t="inlineStr">
        <is>
          <t>Repeat of previous NCR?</t>
        </is>
      </c>
      <c r="AH4" s="9" t="inlineStr">
        <is>
          <t>Remarks</t>
        </is>
      </c>
      <c r="AI4" s="9" t="inlineStr">
        <is>
          <t>Project phase</t>
        </is>
      </c>
      <c r="AJ4" s="9" t="inlineStr">
        <is>
          <t>Auto risk points</t>
        </is>
      </c>
      <c r="AK4" s="9" t="inlineStr">
        <is>
          <t>Auto risk flag</t>
        </is>
      </c>
      <c r="AL4" s="9" t="inlineStr">
        <is>
          <t>Alert reason</t>
        </is>
      </c>
    </row>
    <row r="5">
      <c r="A5" s="15" t="inlineStr">
        <is>
          <t>NCR-0001</t>
        </is>
      </c>
      <c r="B5" s="16" t="n">
        <v>46238</v>
      </c>
      <c r="C5" s="17" t="inlineStr">
        <is>
          <t>Major</t>
        </is>
      </c>
      <c r="D5" s="17" t="inlineStr">
        <is>
          <t>Structural</t>
        </is>
      </c>
      <c r="E5" s="17" t="inlineStr">
        <is>
          <t>Podium</t>
        </is>
      </c>
      <c r="F5" s="18" t="inlineStr">
        <is>
          <t>Zone 3, grid F7</t>
        </is>
      </c>
      <c r="G5" s="18" t="inlineStr">
        <is>
          <t>Raft reinforcement cover below specification</t>
        </is>
      </c>
      <c r="H5" s="18" t="inlineStr">
        <is>
          <t>Specification section 03 30 00 clause 3.4; approved drawing S-204 rev C; ITP hold point H-04</t>
        </is>
      </c>
      <c r="I5" s="18" t="inlineStr">
        <is>
          <t>Cover meter survey showing 22 mm against a 40 mm minimum</t>
        </is>
      </c>
      <c r="J5" s="18" t="inlineStr">
        <is>
          <t>Area bounded and barricaded; pour stopped; affected zone marked on the as-built</t>
        </is>
      </c>
      <c r="K5" s="18" t="inlineStr">
        <is>
          <t>Reduced durability and fire cover to the raft until rectified</t>
        </is>
      </c>
      <c r="L5" s="18" t="inlineStr">
        <is>
          <t>FIDIC Red Book 2017 clause 7.5</t>
        </is>
      </c>
      <c r="M5" s="16" t="n">
        <v>46242</v>
      </c>
      <c r="N5" s="16" t="n">
        <v>46244</v>
      </c>
      <c r="O5" s="17" t="inlineStr">
        <is>
          <t>Contractor QA Manager</t>
        </is>
      </c>
      <c r="P5" s="18" t="inlineStr">
        <is>
          <t>Cover spacers displaced during the pour</t>
        </is>
      </c>
      <c r="Q5" s="18" t="inlineStr">
        <is>
          <t>Rectify the affected zone and re-test</t>
        </is>
      </c>
      <c r="R5" s="18" t="inlineStr">
        <is>
          <t>Spacer template control</t>
        </is>
      </c>
      <c r="S5" s="16" t="n">
        <v>46282</v>
      </c>
      <c r="T5" s="11" t="n"/>
      <c r="U5" s="18" t="inlineStr">
        <is>
          <t>Cover meter survey and core testing</t>
        </is>
      </c>
      <c r="V5" s="11" t="n"/>
      <c r="W5" s="12" t="n"/>
      <c r="X5" s="12" t="n"/>
      <c r="Y5" s="11" t="n"/>
      <c r="Z5" s="14">
        <f>IF(A5="","",IF(Y5&lt;&gt;"",Y5-B5,TODAY()-B5))</f>
        <v/>
      </c>
      <c r="AA5" s="14">
        <f>IF(A5="","",IF(AND(Y5="",TODAY()&gt;S5),"OVERDUE",IF(AND(Y5&lt;&gt;"",Y5&gt;S5),"CLOSED LATE","")))</f>
        <v/>
      </c>
      <c r="AB5" s="17" t="inlineStr">
        <is>
          <t>No</t>
        </is>
      </c>
      <c r="AC5" s="13" t="n"/>
      <c r="AD5" s="19" t="n">
        <v>250000</v>
      </c>
      <c r="AE5" s="17" t="n">
        <v>21</v>
      </c>
      <c r="AF5" s="14">
        <f>IF(A5="","",IF(Y5&lt;&gt;"","Closed",IF(TODAY()&gt;S5,"Overdue","Open")))</f>
        <v/>
      </c>
      <c r="AG5" s="17" t="inlineStr">
        <is>
          <t>No</t>
        </is>
      </c>
      <c r="AH5" s="18" t="inlineStr">
        <is>
          <t>Sample row - delete before use</t>
        </is>
      </c>
      <c r="AI5" s="17" t="inlineStr">
        <is>
          <t>Phase 2 - Construction and fit-out</t>
        </is>
      </c>
      <c r="AJ5" s="14">
        <f>IF(A5="","",IF(OR(C5="Major",C5="Systemic"),4,IF(C5="Minor",1,0))+IF(AND(Y5="",S5&lt;&gt;"",TODAY()&gt;S5),3,0)+IF(AB5="Yes",3,0)+IF(AG5="Yes",2,0)+IF(AND(Y5="",AE5&gt;=14),2,0)+IF(AND(Y5="",AD5&gt;=100000),2,0)+IF(AND(Y5&lt;&gt;"",V5=""),3,0)+IF(AND(Y5&lt;&gt;"",X5=""),2,0)+IF(AND(Y5&lt;&gt;"",Z5&gt;90),1,0))</f>
        <v/>
      </c>
      <c r="AK5" s="14">
        <f>IF(AJ5="","",IF(AJ5&gt;=10,"CRITICAL",IF(AJ5&gt;=6,"HIGH",IF(AJ5&gt;=3,"WATCH","LOW"))))</f>
        <v/>
      </c>
      <c r="AL5" s="20">
        <f>IF(AJ5="","",TRIM(IF(OR(C5="Major",C5="Systemic"),"major or systemic; ","")&amp;IF(AND(Y5="",S5&lt;&gt;"",TODAY()&gt;S5),"open past agreed date; ","")&amp;IF(AB5="Yes","authority or NOC linked; ","")&amp;IF(AG5="Yes","repeat of a previous NCR; ","")&amp;IF(AND(Y5="",AE5&gt;=14),"programme impact 14 days or more; ","")&amp;IF(AND(Y5="",AD5&gt;=100000),"cost impact AED 100,000 or more; ","")&amp;IF(AND(Y5&lt;&gt;"",V5=""),"closed with no verification date; ","")&amp;IF(AND(Y5&lt;&gt;"",X5=""),"closed without a closure certificate; ","")&amp;IF(AND(Y5&lt;&gt;"",Z5&gt;90),"closed more than 90 days after raising; ","")))</f>
        <v/>
      </c>
    </row>
    <row r="6">
      <c r="A6" s="15" t="inlineStr">
        <is>
          <t>NCR-0002</t>
        </is>
      </c>
      <c r="B6" s="16" t="n">
        <v>46267</v>
      </c>
      <c r="C6" s="17" t="inlineStr">
        <is>
          <t>Systemic</t>
        </is>
      </c>
      <c r="D6" s="17" t="inlineStr">
        <is>
          <t>Fire and life safety</t>
        </is>
      </c>
      <c r="E6" s="17" t="inlineStr">
        <is>
          <t>Core</t>
        </is>
      </c>
      <c r="F6" s="18" t="inlineStr">
        <is>
          <t>Level 5 riser</t>
        </is>
      </c>
      <c r="G6" s="18" t="inlineStr">
        <is>
          <t>Fire-stopping system reference not recorded for 14 penetrations</t>
        </is>
      </c>
      <c r="H6" s="18" t="inlineStr">
        <is>
          <t>Fire-stopping specification section 07 84 00; approved system submittal; Dubai Civil Defence conditions</t>
        </is>
      </c>
      <c r="I6" s="18" t="inlineStr">
        <is>
          <t>Site inspection record and dated photographs</t>
        </is>
      </c>
      <c r="J6" s="18" t="inlineStr">
        <is>
          <t>All 14 penetrations listed and marked; compartment left incomplete</t>
        </is>
      </c>
      <c r="K6" s="18" t="inlineStr">
        <is>
          <t>Compartmentation integrity unproven until the seals are verified</t>
        </is>
      </c>
      <c r="L6" s="18" t="inlineStr">
        <is>
          <t>Authority approval conditions and the contract quality clause</t>
        </is>
      </c>
      <c r="M6" s="16" t="n">
        <v>46269</v>
      </c>
      <c r="N6" s="16" t="n">
        <v>46272</v>
      </c>
      <c r="O6" s="17" t="inlineStr">
        <is>
          <t>Contractor QA/QC Manager</t>
        </is>
      </c>
      <c r="P6" s="18" t="inlineStr">
        <is>
          <t>Material control omitted the fire-stopping system from the approved list</t>
        </is>
      </c>
      <c r="Q6" s="18" t="inlineStr">
        <is>
          <t>Re-inspect and re-document 100 per cent of the penetrations</t>
        </is>
      </c>
      <c r="R6" s="18" t="inlineStr">
        <is>
          <t>Add fire-stopping to the controlled material list</t>
        </is>
      </c>
      <c r="S6" s="16" t="n">
        <v>46297</v>
      </c>
      <c r="T6" s="11" t="n"/>
      <c r="U6" s="18" t="inlineStr">
        <is>
          <t>Physical inspection and system verification</t>
        </is>
      </c>
      <c r="V6" s="11" t="n"/>
      <c r="W6" s="12" t="n"/>
      <c r="X6" s="12" t="n"/>
      <c r="Y6" s="16" t="n">
        <v>46301</v>
      </c>
      <c r="Z6" s="14">
        <f>IF(A6="","",IF(Y6&lt;&gt;"",Y6-B6,TODAY()-B6))</f>
        <v/>
      </c>
      <c r="AA6" s="14">
        <f>IF(A6="","",IF(AND(Y6="",TODAY()&gt;S6),"OVERDUE",IF(AND(Y6&lt;&gt;"",Y6&gt;S6),"CLOSED LATE","")))</f>
        <v/>
      </c>
      <c r="AB6" s="17" t="inlineStr">
        <is>
          <t>Yes</t>
        </is>
      </c>
      <c r="AC6" s="18" t="inlineStr"/>
      <c r="AD6" s="19" t="n">
        <v>40000</v>
      </c>
      <c r="AE6" s="17" t="n">
        <v>7</v>
      </c>
      <c r="AF6" s="14">
        <f>IF(A6="","",IF(Y6&lt;&gt;"","Closed",IF(TODAY()&gt;S6,"Overdue","Open")))</f>
        <v/>
      </c>
      <c r="AG6" s="17" t="inlineStr">
        <is>
          <t>No</t>
        </is>
      </c>
      <c r="AH6" s="18" t="inlineStr">
        <is>
          <t>Sample row - delete before use</t>
        </is>
      </c>
      <c r="AI6" s="17" t="inlineStr">
        <is>
          <t>Phase 3 - Testing and commissioning</t>
        </is>
      </c>
      <c r="AJ6" s="14">
        <f>IF(A6="","",IF(OR(C6="Major",C6="Systemic"),4,IF(C6="Minor",1,0))+IF(AND(Y6="",S6&lt;&gt;"",TODAY()&gt;S6),3,0)+IF(AB6="Yes",3,0)+IF(AG6="Yes",2,0)+IF(AND(Y6="",AE6&gt;=14),2,0)+IF(AND(Y6="",AD6&gt;=100000),2,0)+IF(AND(Y6&lt;&gt;"",V6=""),3,0)+IF(AND(Y6&lt;&gt;"",X6=""),2,0)+IF(AND(Y6&lt;&gt;"",Z6&gt;90),1,0))</f>
        <v/>
      </c>
      <c r="AK6" s="14">
        <f>IF(AJ6="","",IF(AJ6&gt;=10,"CRITICAL",IF(AJ6&gt;=6,"HIGH",IF(AJ6&gt;=3,"WATCH","LOW"))))</f>
        <v/>
      </c>
      <c r="AL6" s="20">
        <f>IF(AJ6="","",TRIM(IF(OR(C6="Major",C6="Systemic"),"major or systemic; ","")&amp;IF(AND(Y6="",S6&lt;&gt;"",TODAY()&gt;S6),"open past agreed date; ","")&amp;IF(AB6="Yes","authority or NOC linked; ","")&amp;IF(AG6="Yes","repeat of a previous NCR; ","")&amp;IF(AND(Y6="",AE6&gt;=14),"programme impact 14 days or more; ","")&amp;IF(AND(Y6="",AD6&gt;=100000),"cost impact AED 100,000 or more; ","")&amp;IF(AND(Y6&lt;&gt;"",V6=""),"closed with no verification date; ","")&amp;IF(AND(Y6&lt;&gt;"",X6=""),"closed without a closure certificate; ","")&amp;IF(AND(Y6&lt;&gt;"",Z6&gt;90),"closed more than 90 days after raising; ","")))</f>
        <v/>
      </c>
    </row>
    <row r="7">
      <c r="A7" s="15" t="inlineStr">
        <is>
          <t>NCR-0003</t>
        </is>
      </c>
      <c r="B7" s="16" t="n">
        <v>46290</v>
      </c>
      <c r="C7" s="17" t="inlineStr">
        <is>
          <t>Minor</t>
        </is>
      </c>
      <c r="D7" s="17" t="inlineStr">
        <is>
          <t>Architectural</t>
        </is>
      </c>
      <c r="E7" s="17" t="inlineStr">
        <is>
          <t>Retail fit-out</t>
        </is>
      </c>
      <c r="F7" s="18" t="inlineStr">
        <is>
          <t>Unit R-12</t>
        </is>
      </c>
      <c r="G7" s="18" t="inlineStr">
        <is>
          <t>Tile lippage beyond tolerance at the shopfront threshold</t>
        </is>
      </c>
      <c r="H7" s="18" t="inlineStr">
        <is>
          <t>Finishes specification section 09 30 00 clause 2.3; shopfront drawing A-118 rev B</t>
        </is>
      </c>
      <c r="I7" s="18" t="inlineStr">
        <is>
          <t>Straight-edge measurement of 3 mm against a 2 mm tolerance</t>
        </is>
      </c>
      <c r="J7" s="18" t="inlineStr">
        <is>
          <t>One threshold only; unit access maintained</t>
        </is>
      </c>
      <c r="K7" s="18" t="inlineStr">
        <is>
          <t>Appearance and trip risk at the shopfront entry</t>
        </is>
      </c>
      <c r="L7" s="18" t="inlineStr">
        <is>
          <t>FIDIC Red Book 2017 clause 7.5</t>
        </is>
      </c>
      <c r="M7" s="16" t="n">
        <v>46291</v>
      </c>
      <c r="N7" s="16" t="n">
        <v>46292</v>
      </c>
      <c r="O7" s="17" t="inlineStr">
        <is>
          <t>Subcontractor foreman</t>
        </is>
      </c>
      <c r="P7" s="18" t="inlineStr">
        <is>
          <t>Substrate level not checked before fixing</t>
        </is>
      </c>
      <c r="Q7" s="18" t="inlineStr">
        <is>
          <t>Replace the affected tiles</t>
        </is>
      </c>
      <c r="R7" s="18" t="inlineStr">
        <is>
          <t>Add a pre-fix level check to the ITP</t>
        </is>
      </c>
      <c r="S7" s="16" t="n">
        <v>46300</v>
      </c>
      <c r="T7" s="11" t="n"/>
      <c r="U7" s="18" t="inlineStr">
        <is>
          <t>Visual and dimensional inspection</t>
        </is>
      </c>
      <c r="V7" s="11" t="n"/>
      <c r="W7" s="12" t="n"/>
      <c r="X7" s="12" t="n"/>
      <c r="Y7" s="11" t="n"/>
      <c r="Z7" s="14">
        <f>IF(A7="","",IF(Y7&lt;&gt;"",Y7-B7,TODAY()-B7))</f>
        <v/>
      </c>
      <c r="AA7" s="14">
        <f>IF(A7="","",IF(AND(Y7="",TODAY()&gt;S7),"OVERDUE",IF(AND(Y7&lt;&gt;"",Y7&gt;S7),"CLOSED LATE","")))</f>
        <v/>
      </c>
      <c r="AB7" s="17" t="inlineStr">
        <is>
          <t>No</t>
        </is>
      </c>
      <c r="AC7" s="13" t="n"/>
      <c r="AD7" s="19" t="n">
        <v>5000</v>
      </c>
      <c r="AE7" s="17" t="n">
        <v>5</v>
      </c>
      <c r="AF7" s="14">
        <f>IF(A7="","",IF(Y7&lt;&gt;"","Closed",IF(TODAY()&gt;S7,"Overdue","Open")))</f>
        <v/>
      </c>
      <c r="AG7" s="17" t="inlineStr">
        <is>
          <t>Yes</t>
        </is>
      </c>
      <c r="AH7" s="18" t="inlineStr">
        <is>
          <t>Sample row - delete before use</t>
        </is>
      </c>
      <c r="AI7" s="17" t="inlineStr">
        <is>
          <t>Phase 4 - Handover and taking-over</t>
        </is>
      </c>
      <c r="AJ7" s="14">
        <f>IF(A7="","",IF(OR(C7="Major",C7="Systemic"),4,IF(C7="Minor",1,0))+IF(AND(Y7="",S7&lt;&gt;"",TODAY()&gt;S7),3,0)+IF(AB7="Yes",3,0)+IF(AG7="Yes",2,0)+IF(AND(Y7="",AE7&gt;=14),2,0)+IF(AND(Y7="",AD7&gt;=100000),2,0)+IF(AND(Y7&lt;&gt;"",V7=""),3,0)+IF(AND(Y7&lt;&gt;"",X7=""),2,0)+IF(AND(Y7&lt;&gt;"",Z7&gt;90),1,0))</f>
        <v/>
      </c>
      <c r="AK7" s="14">
        <f>IF(AJ7="","",IF(AJ7&gt;=10,"CRITICAL",IF(AJ7&gt;=6,"HIGH",IF(AJ7&gt;=3,"WATCH","LOW"))))</f>
        <v/>
      </c>
      <c r="AL7" s="20">
        <f>IF(AJ7="","",TRIM(IF(OR(C7="Major",C7="Systemic"),"major or systemic; ","")&amp;IF(AND(Y7="",S7&lt;&gt;"",TODAY()&gt;S7),"open past agreed date; ","")&amp;IF(AB7="Yes","authority or NOC linked; ","")&amp;IF(AG7="Yes","repeat of a previous NCR; ","")&amp;IF(AND(Y7="",AE7&gt;=14),"programme impact 14 days or more; ","")&amp;IF(AND(Y7="",AD7&gt;=100000),"cost impact AED 100,000 or more; ","")&amp;IF(AND(Y7&lt;&gt;"",V7=""),"closed with no verification date; ","")&amp;IF(AND(Y7&lt;&gt;"",X7=""),"closed without a closure certificate; ","")&amp;IF(AND(Y7&lt;&gt;"",Z7&gt;90),"closed more than 90 days after raising; ","")))</f>
        <v/>
      </c>
    </row>
    <row r="8">
      <c r="A8" s="10" t="n"/>
      <c r="B8" s="11" t="n"/>
      <c r="C8" s="12" t="n"/>
      <c r="D8" s="12" t="n"/>
      <c r="E8" s="12" t="n"/>
      <c r="F8" s="13" t="n"/>
      <c r="G8" s="13" t="n"/>
      <c r="H8" s="13" t="n"/>
      <c r="I8" s="13" t="n"/>
      <c r="J8" s="13" t="n"/>
      <c r="K8" s="13" t="n"/>
      <c r="L8" s="13" t="n"/>
      <c r="M8" s="11" t="n"/>
      <c r="N8" s="11" t="n"/>
      <c r="O8" s="12" t="n"/>
      <c r="P8" s="13" t="n"/>
      <c r="Q8" s="13" t="n"/>
      <c r="R8" s="13" t="n"/>
      <c r="S8" s="11" t="n"/>
      <c r="T8" s="11" t="n"/>
      <c r="U8" s="13" t="n"/>
      <c r="V8" s="11" t="n"/>
      <c r="W8" s="12" t="n"/>
      <c r="X8" s="12" t="n"/>
      <c r="Y8" s="11" t="n"/>
      <c r="Z8" s="14">
        <f>IF(A8="","",IF(Y8&lt;&gt;"",Y8-B8,TODAY()-B8))</f>
        <v/>
      </c>
      <c r="AA8" s="14">
        <f>IF(A8="","",IF(AND(Y8="",TODAY()&gt;S8),"OVERDUE",IF(AND(Y8&lt;&gt;"",Y8&gt;S8),"CLOSED LATE","")))</f>
        <v/>
      </c>
      <c r="AB8" s="12" t="n"/>
      <c r="AC8" s="13" t="n"/>
      <c r="AD8" s="21" t="n"/>
      <c r="AE8" s="12" t="n"/>
      <c r="AF8" s="14">
        <f>IF(A8="","",IF(Y8&lt;&gt;"","Closed",IF(TODAY()&gt;S8,"Overdue","Open")))</f>
        <v/>
      </c>
      <c r="AG8" s="12" t="n"/>
      <c r="AH8" s="13" t="n"/>
      <c r="AI8" s="12" t="n"/>
      <c r="AJ8" s="14">
        <f>IF(A8="","",IF(OR(C8="Major",C8="Systemic"),4,IF(C8="Minor",1,0))+IF(AND(Y8="",S8&lt;&gt;"",TODAY()&gt;S8),3,0)+IF(AB8="Yes",3,0)+IF(AG8="Yes",2,0)+IF(AND(Y8="",AE8&gt;=14),2,0)+IF(AND(Y8="",AD8&gt;=100000),2,0)+IF(AND(Y8&lt;&gt;"",V8=""),3,0)+IF(AND(Y8&lt;&gt;"",X8=""),2,0)+IF(AND(Y8&lt;&gt;"",Z8&gt;90),1,0))</f>
        <v/>
      </c>
      <c r="AK8" s="14">
        <f>IF(AJ8="","",IF(AJ8&gt;=10,"CRITICAL",IF(AJ8&gt;=6,"HIGH",IF(AJ8&gt;=3,"WATCH","LOW"))))</f>
        <v/>
      </c>
      <c r="AL8" s="20">
        <f>IF(AJ8="","",TRIM(IF(OR(C8="Major",C8="Systemic"),"major or systemic; ","")&amp;IF(AND(Y8="",S8&lt;&gt;"",TODAY()&gt;S8),"open past agreed date; ","")&amp;IF(AB8="Yes","authority or NOC linked; ","")&amp;IF(AG8="Yes","repeat of a previous NCR; ","")&amp;IF(AND(Y8="",AE8&gt;=14),"programme impact 14 days or more; ","")&amp;IF(AND(Y8="",AD8&gt;=100000),"cost impact AED 100,000 or more; ","")&amp;IF(AND(Y8&lt;&gt;"",V8=""),"closed with no verification date; ","")&amp;IF(AND(Y8&lt;&gt;"",X8=""),"closed without a closure certificate; ","")&amp;IF(AND(Y8&lt;&gt;"",Z8&gt;90),"closed more than 90 days after raising; ","")))</f>
        <v/>
      </c>
    </row>
    <row r="9">
      <c r="A9" s="10" t="n"/>
      <c r="B9" s="11" t="n"/>
      <c r="C9" s="12" t="n"/>
      <c r="D9" s="12" t="n"/>
      <c r="E9" s="12" t="n"/>
      <c r="F9" s="13" t="n"/>
      <c r="G9" s="13" t="n"/>
      <c r="H9" s="13" t="n"/>
      <c r="I9" s="13" t="n"/>
      <c r="J9" s="13" t="n"/>
      <c r="K9" s="13" t="n"/>
      <c r="L9" s="13" t="n"/>
      <c r="M9" s="11" t="n"/>
      <c r="N9" s="11" t="n"/>
      <c r="O9" s="12" t="n"/>
      <c r="P9" s="13" t="n"/>
      <c r="Q9" s="13" t="n"/>
      <c r="R9" s="13" t="n"/>
      <c r="S9" s="11" t="n"/>
      <c r="T9" s="11" t="n"/>
      <c r="U9" s="13" t="n"/>
      <c r="V9" s="11" t="n"/>
      <c r="W9" s="12" t="n"/>
      <c r="X9" s="12" t="n"/>
      <c r="Y9" s="11" t="n"/>
      <c r="Z9" s="14">
        <f>IF(A9="","",IF(Y9&lt;&gt;"",Y9-B9,TODAY()-B9))</f>
        <v/>
      </c>
      <c r="AA9" s="14">
        <f>IF(A9="","",IF(AND(Y9="",TODAY()&gt;S9),"OVERDUE",IF(AND(Y9&lt;&gt;"",Y9&gt;S9),"CLOSED LATE","")))</f>
        <v/>
      </c>
      <c r="AB9" s="12" t="n"/>
      <c r="AC9" s="13" t="n"/>
      <c r="AD9" s="21" t="n"/>
      <c r="AE9" s="12" t="n"/>
      <c r="AF9" s="14">
        <f>IF(A9="","",IF(Y9&lt;&gt;"","Closed",IF(TODAY()&gt;S9,"Overdue","Open")))</f>
        <v/>
      </c>
      <c r="AG9" s="12" t="n"/>
      <c r="AH9" s="13" t="n"/>
      <c r="AI9" s="12" t="n"/>
      <c r="AJ9" s="14">
        <f>IF(A9="","",IF(OR(C9="Major",C9="Systemic"),4,IF(C9="Minor",1,0))+IF(AND(Y9="",S9&lt;&gt;"",TODAY()&gt;S9),3,0)+IF(AB9="Yes",3,0)+IF(AG9="Yes",2,0)+IF(AND(Y9="",AE9&gt;=14),2,0)+IF(AND(Y9="",AD9&gt;=100000),2,0)+IF(AND(Y9&lt;&gt;"",V9=""),3,0)+IF(AND(Y9&lt;&gt;"",X9=""),2,0)+IF(AND(Y9&lt;&gt;"",Z9&gt;90),1,0))</f>
        <v/>
      </c>
      <c r="AK9" s="14">
        <f>IF(AJ9="","",IF(AJ9&gt;=10,"CRITICAL",IF(AJ9&gt;=6,"HIGH",IF(AJ9&gt;=3,"WATCH","LOW"))))</f>
        <v/>
      </c>
      <c r="AL9" s="20">
        <f>IF(AJ9="","",TRIM(IF(OR(C9="Major",C9="Systemic"),"major or systemic; ","")&amp;IF(AND(Y9="",S9&lt;&gt;"",TODAY()&gt;S9),"open past agreed date; ","")&amp;IF(AB9="Yes","authority or NOC linked; ","")&amp;IF(AG9="Yes","repeat of a previous NCR; ","")&amp;IF(AND(Y9="",AE9&gt;=14),"programme impact 14 days or more; ","")&amp;IF(AND(Y9="",AD9&gt;=100000),"cost impact AED 100,000 or more; ","")&amp;IF(AND(Y9&lt;&gt;"",V9=""),"closed with no verification date; ","")&amp;IF(AND(Y9&lt;&gt;"",X9=""),"closed without a closure certificate; ","")&amp;IF(AND(Y9&lt;&gt;"",Z9&gt;90),"closed more than 90 days after raising; ","")))</f>
        <v/>
      </c>
    </row>
    <row r="10">
      <c r="A10" s="10" t="n"/>
      <c r="B10" s="11" t="n"/>
      <c r="C10" s="12" t="n"/>
      <c r="D10" s="12" t="n"/>
      <c r="E10" s="12" t="n"/>
      <c r="F10" s="13" t="n"/>
      <c r="G10" s="13" t="n"/>
      <c r="H10" s="13" t="n"/>
      <c r="I10" s="13" t="n"/>
      <c r="J10" s="13" t="n"/>
      <c r="K10" s="13" t="n"/>
      <c r="L10" s="13" t="n"/>
      <c r="M10" s="11" t="n"/>
      <c r="N10" s="11" t="n"/>
      <c r="O10" s="12" t="n"/>
      <c r="P10" s="13" t="n"/>
      <c r="Q10" s="13" t="n"/>
      <c r="R10" s="13" t="n"/>
      <c r="S10" s="11" t="n"/>
      <c r="T10" s="11" t="n"/>
      <c r="U10" s="13" t="n"/>
      <c r="V10" s="11" t="n"/>
      <c r="W10" s="12" t="n"/>
      <c r="X10" s="12" t="n"/>
      <c r="Y10" s="11" t="n"/>
      <c r="Z10" s="14">
        <f>IF(A10="","",IF(Y10&lt;&gt;"",Y10-B10,TODAY()-B10))</f>
        <v/>
      </c>
      <c r="AA10" s="14">
        <f>IF(A10="","",IF(AND(Y10="",TODAY()&gt;S10),"OVERDUE",IF(AND(Y10&lt;&gt;"",Y10&gt;S10),"CLOSED LATE","")))</f>
        <v/>
      </c>
      <c r="AB10" s="12" t="n"/>
      <c r="AC10" s="13" t="n"/>
      <c r="AD10" s="21" t="n"/>
      <c r="AE10" s="12" t="n"/>
      <c r="AF10" s="14">
        <f>IF(A10="","",IF(Y10&lt;&gt;"","Closed",IF(TODAY()&gt;S10,"Overdue","Open")))</f>
        <v/>
      </c>
      <c r="AG10" s="12" t="n"/>
      <c r="AH10" s="13" t="n"/>
      <c r="AI10" s="12" t="n"/>
      <c r="AJ10" s="14">
        <f>IF(A10="","",IF(OR(C10="Major",C10="Systemic"),4,IF(C10="Minor",1,0))+IF(AND(Y10="",S10&lt;&gt;"",TODAY()&gt;S10),3,0)+IF(AB10="Yes",3,0)+IF(AG10="Yes",2,0)+IF(AND(Y10="",AE10&gt;=14),2,0)+IF(AND(Y10="",AD10&gt;=100000),2,0)+IF(AND(Y10&lt;&gt;"",V10=""),3,0)+IF(AND(Y10&lt;&gt;"",X10=""),2,0)+IF(AND(Y10&lt;&gt;"",Z10&gt;90),1,0))</f>
        <v/>
      </c>
      <c r="AK10" s="14">
        <f>IF(AJ10="","",IF(AJ10&gt;=10,"CRITICAL",IF(AJ10&gt;=6,"HIGH",IF(AJ10&gt;=3,"WATCH","LOW"))))</f>
        <v/>
      </c>
      <c r="AL10" s="20">
        <f>IF(AJ10="","",TRIM(IF(OR(C10="Major",C10="Systemic"),"major or systemic; ","")&amp;IF(AND(Y10="",S10&lt;&gt;"",TODAY()&gt;S10),"open past agreed date; ","")&amp;IF(AB10="Yes","authority or NOC linked; ","")&amp;IF(AG10="Yes","repeat of a previous NCR; ","")&amp;IF(AND(Y10="",AE10&gt;=14),"programme impact 14 days or more; ","")&amp;IF(AND(Y10="",AD10&gt;=100000),"cost impact AED 100,000 or more; ","")&amp;IF(AND(Y10&lt;&gt;"",V10=""),"closed with no verification date; ","")&amp;IF(AND(Y10&lt;&gt;"",X10=""),"closed without a closure certificate; ","")&amp;IF(AND(Y10&lt;&gt;"",Z10&gt;90),"closed more than 90 days after raising; ","")))</f>
        <v/>
      </c>
    </row>
    <row r="11">
      <c r="A11" s="10" t="n"/>
      <c r="B11" s="11" t="n"/>
      <c r="C11" s="12" t="n"/>
      <c r="D11" s="12" t="n"/>
      <c r="E11" s="12" t="n"/>
      <c r="F11" s="13" t="n"/>
      <c r="G11" s="13" t="n"/>
      <c r="H11" s="13" t="n"/>
      <c r="I11" s="13" t="n"/>
      <c r="J11" s="13" t="n"/>
      <c r="K11" s="13" t="n"/>
      <c r="L11" s="13" t="n"/>
      <c r="M11" s="11" t="n"/>
      <c r="N11" s="11" t="n"/>
      <c r="O11" s="12" t="n"/>
      <c r="P11" s="13" t="n"/>
      <c r="Q11" s="13" t="n"/>
      <c r="R11" s="13" t="n"/>
      <c r="S11" s="11" t="n"/>
      <c r="T11" s="11" t="n"/>
      <c r="U11" s="13" t="n"/>
      <c r="V11" s="11" t="n"/>
      <c r="W11" s="12" t="n"/>
      <c r="X11" s="12" t="n"/>
      <c r="Y11" s="11" t="n"/>
      <c r="Z11" s="14">
        <f>IF(A11="","",IF(Y11&lt;&gt;"",Y11-B11,TODAY()-B11))</f>
        <v/>
      </c>
      <c r="AA11" s="14">
        <f>IF(A11="","",IF(AND(Y11="",TODAY()&gt;S11),"OVERDUE",IF(AND(Y11&lt;&gt;"",Y11&gt;S11),"CLOSED LATE","")))</f>
        <v/>
      </c>
      <c r="AB11" s="12" t="n"/>
      <c r="AC11" s="13" t="n"/>
      <c r="AD11" s="21" t="n"/>
      <c r="AE11" s="12" t="n"/>
      <c r="AF11" s="14">
        <f>IF(A11="","",IF(Y11&lt;&gt;"","Closed",IF(TODAY()&gt;S11,"Overdue","Open")))</f>
        <v/>
      </c>
      <c r="AG11" s="12" t="n"/>
      <c r="AH11" s="13" t="n"/>
      <c r="AI11" s="12" t="n"/>
      <c r="AJ11" s="14">
        <f>IF(A11="","",IF(OR(C11="Major",C11="Systemic"),4,IF(C11="Minor",1,0))+IF(AND(Y11="",S11&lt;&gt;"",TODAY()&gt;S11),3,0)+IF(AB11="Yes",3,0)+IF(AG11="Yes",2,0)+IF(AND(Y11="",AE11&gt;=14),2,0)+IF(AND(Y11="",AD11&gt;=100000),2,0)+IF(AND(Y11&lt;&gt;"",V11=""),3,0)+IF(AND(Y11&lt;&gt;"",X11=""),2,0)+IF(AND(Y11&lt;&gt;"",Z11&gt;90),1,0))</f>
        <v/>
      </c>
      <c r="AK11" s="14">
        <f>IF(AJ11="","",IF(AJ11&gt;=10,"CRITICAL",IF(AJ11&gt;=6,"HIGH",IF(AJ11&gt;=3,"WATCH","LOW"))))</f>
        <v/>
      </c>
      <c r="AL11" s="20">
        <f>IF(AJ11="","",TRIM(IF(OR(C11="Major",C11="Systemic"),"major or systemic; ","")&amp;IF(AND(Y11="",S11&lt;&gt;"",TODAY()&gt;S11),"open past agreed date; ","")&amp;IF(AB11="Yes","authority or NOC linked; ","")&amp;IF(AG11="Yes","repeat of a previous NCR; ","")&amp;IF(AND(Y11="",AE11&gt;=14),"programme impact 14 days or more; ","")&amp;IF(AND(Y11="",AD11&gt;=100000),"cost impact AED 100,000 or more; ","")&amp;IF(AND(Y11&lt;&gt;"",V11=""),"closed with no verification date; ","")&amp;IF(AND(Y11&lt;&gt;"",X11=""),"closed without a closure certificate; ","")&amp;IF(AND(Y11&lt;&gt;"",Z11&gt;90),"closed more than 90 days after raising; ","")))</f>
        <v/>
      </c>
    </row>
    <row r="12">
      <c r="A12" s="10" t="n"/>
      <c r="B12" s="11" t="n"/>
      <c r="C12" s="12" t="n"/>
      <c r="D12" s="12" t="n"/>
      <c r="E12" s="12" t="n"/>
      <c r="F12" s="13" t="n"/>
      <c r="G12" s="13" t="n"/>
      <c r="H12" s="13" t="n"/>
      <c r="I12" s="13" t="n"/>
      <c r="J12" s="13" t="n"/>
      <c r="K12" s="13" t="n"/>
      <c r="L12" s="13" t="n"/>
      <c r="M12" s="11" t="n"/>
      <c r="N12" s="11" t="n"/>
      <c r="O12" s="12" t="n"/>
      <c r="P12" s="13" t="n"/>
      <c r="Q12" s="13" t="n"/>
      <c r="R12" s="13" t="n"/>
      <c r="S12" s="11" t="n"/>
      <c r="T12" s="11" t="n"/>
      <c r="U12" s="13" t="n"/>
      <c r="V12" s="11" t="n"/>
      <c r="W12" s="12" t="n"/>
      <c r="X12" s="12" t="n"/>
      <c r="Y12" s="11" t="n"/>
      <c r="Z12" s="14">
        <f>IF(A12="","",IF(Y12&lt;&gt;"",Y12-B12,TODAY()-B12))</f>
        <v/>
      </c>
      <c r="AA12" s="14">
        <f>IF(A12="","",IF(AND(Y12="",TODAY()&gt;S12),"OVERDUE",IF(AND(Y12&lt;&gt;"",Y12&gt;S12),"CLOSED LATE","")))</f>
        <v/>
      </c>
      <c r="AB12" s="12" t="n"/>
      <c r="AC12" s="13" t="n"/>
      <c r="AD12" s="21" t="n"/>
      <c r="AE12" s="12" t="n"/>
      <c r="AF12" s="14">
        <f>IF(A12="","",IF(Y12&lt;&gt;"","Closed",IF(TODAY()&gt;S12,"Overdue","Open")))</f>
        <v/>
      </c>
      <c r="AG12" s="12" t="n"/>
      <c r="AH12" s="13" t="n"/>
      <c r="AI12" s="12" t="n"/>
      <c r="AJ12" s="14">
        <f>IF(A12="","",IF(OR(C12="Major",C12="Systemic"),4,IF(C12="Minor",1,0))+IF(AND(Y12="",S12&lt;&gt;"",TODAY()&gt;S12),3,0)+IF(AB12="Yes",3,0)+IF(AG12="Yes",2,0)+IF(AND(Y12="",AE12&gt;=14),2,0)+IF(AND(Y12="",AD12&gt;=100000),2,0)+IF(AND(Y12&lt;&gt;"",V12=""),3,0)+IF(AND(Y12&lt;&gt;"",X12=""),2,0)+IF(AND(Y12&lt;&gt;"",Z12&gt;90),1,0))</f>
        <v/>
      </c>
      <c r="AK12" s="14">
        <f>IF(AJ12="","",IF(AJ12&gt;=10,"CRITICAL",IF(AJ12&gt;=6,"HIGH",IF(AJ12&gt;=3,"WATCH","LOW"))))</f>
        <v/>
      </c>
      <c r="AL12" s="20">
        <f>IF(AJ12="","",TRIM(IF(OR(C12="Major",C12="Systemic"),"major or systemic; ","")&amp;IF(AND(Y12="",S12&lt;&gt;"",TODAY()&gt;S12),"open past agreed date; ","")&amp;IF(AB12="Yes","authority or NOC linked; ","")&amp;IF(AG12="Yes","repeat of a previous NCR; ","")&amp;IF(AND(Y12="",AE12&gt;=14),"programme impact 14 days or more; ","")&amp;IF(AND(Y12="",AD12&gt;=100000),"cost impact AED 100,000 or more; ","")&amp;IF(AND(Y12&lt;&gt;"",V12=""),"closed with no verification date; ","")&amp;IF(AND(Y12&lt;&gt;"",X12=""),"closed without a closure certificate; ","")&amp;IF(AND(Y12&lt;&gt;"",Z12&gt;90),"closed more than 90 days after raising; ","")))</f>
        <v/>
      </c>
    </row>
    <row r="13">
      <c r="A13" s="10" t="n"/>
      <c r="B13" s="11" t="n"/>
      <c r="C13" s="12" t="n"/>
      <c r="D13" s="12" t="n"/>
      <c r="E13" s="12" t="n"/>
      <c r="F13" s="13" t="n"/>
      <c r="G13" s="13" t="n"/>
      <c r="H13" s="13" t="n"/>
      <c r="I13" s="13" t="n"/>
      <c r="J13" s="13" t="n"/>
      <c r="K13" s="13" t="n"/>
      <c r="L13" s="13" t="n"/>
      <c r="M13" s="11" t="n"/>
      <c r="N13" s="11" t="n"/>
      <c r="O13" s="12" t="n"/>
      <c r="P13" s="13" t="n"/>
      <c r="Q13" s="13" t="n"/>
      <c r="R13" s="13" t="n"/>
      <c r="S13" s="11" t="n"/>
      <c r="T13" s="11" t="n"/>
      <c r="U13" s="13" t="n"/>
      <c r="V13" s="11" t="n"/>
      <c r="W13" s="12" t="n"/>
      <c r="X13" s="12" t="n"/>
      <c r="Y13" s="11" t="n"/>
      <c r="Z13" s="14">
        <f>IF(A13="","",IF(Y13&lt;&gt;"",Y13-B13,TODAY()-B13))</f>
        <v/>
      </c>
      <c r="AA13" s="14">
        <f>IF(A13="","",IF(AND(Y13="",TODAY()&gt;S13),"OVERDUE",IF(AND(Y13&lt;&gt;"",Y13&gt;S13),"CLOSED LATE","")))</f>
        <v/>
      </c>
      <c r="AB13" s="12" t="n"/>
      <c r="AC13" s="13" t="n"/>
      <c r="AD13" s="21" t="n"/>
      <c r="AE13" s="12" t="n"/>
      <c r="AF13" s="14">
        <f>IF(A13="","",IF(Y13&lt;&gt;"","Closed",IF(TODAY()&gt;S13,"Overdue","Open")))</f>
        <v/>
      </c>
      <c r="AG13" s="12" t="n"/>
      <c r="AH13" s="13" t="n"/>
      <c r="AI13" s="12" t="n"/>
      <c r="AJ13" s="14">
        <f>IF(A13="","",IF(OR(C13="Major",C13="Systemic"),4,IF(C13="Minor",1,0))+IF(AND(Y13="",S13&lt;&gt;"",TODAY()&gt;S13),3,0)+IF(AB13="Yes",3,0)+IF(AG13="Yes",2,0)+IF(AND(Y13="",AE13&gt;=14),2,0)+IF(AND(Y13="",AD13&gt;=100000),2,0)+IF(AND(Y13&lt;&gt;"",V13=""),3,0)+IF(AND(Y13&lt;&gt;"",X13=""),2,0)+IF(AND(Y13&lt;&gt;"",Z13&gt;90),1,0))</f>
        <v/>
      </c>
      <c r="AK13" s="14">
        <f>IF(AJ13="","",IF(AJ13&gt;=10,"CRITICAL",IF(AJ13&gt;=6,"HIGH",IF(AJ13&gt;=3,"WATCH","LOW"))))</f>
        <v/>
      </c>
      <c r="AL13" s="20">
        <f>IF(AJ13="","",TRIM(IF(OR(C13="Major",C13="Systemic"),"major or systemic; ","")&amp;IF(AND(Y13="",S13&lt;&gt;"",TODAY()&gt;S13),"open past agreed date; ","")&amp;IF(AB13="Yes","authority or NOC linked; ","")&amp;IF(AG13="Yes","repeat of a previous NCR; ","")&amp;IF(AND(Y13="",AE13&gt;=14),"programme impact 14 days or more; ","")&amp;IF(AND(Y13="",AD13&gt;=100000),"cost impact AED 100,000 or more; ","")&amp;IF(AND(Y13&lt;&gt;"",V13=""),"closed with no verification date; ","")&amp;IF(AND(Y13&lt;&gt;"",X13=""),"closed without a closure certificate; ","")&amp;IF(AND(Y13&lt;&gt;"",Z13&gt;90),"closed more than 90 days after raising; ","")))</f>
        <v/>
      </c>
    </row>
    <row r="14">
      <c r="A14" s="10" t="n"/>
      <c r="B14" s="11" t="n"/>
      <c r="C14" s="12" t="n"/>
      <c r="D14" s="12" t="n"/>
      <c r="E14" s="12" t="n"/>
      <c r="F14" s="13" t="n"/>
      <c r="G14" s="13" t="n"/>
      <c r="H14" s="13" t="n"/>
      <c r="I14" s="13" t="n"/>
      <c r="J14" s="13" t="n"/>
      <c r="K14" s="13" t="n"/>
      <c r="L14" s="13" t="n"/>
      <c r="M14" s="11" t="n"/>
      <c r="N14" s="11" t="n"/>
      <c r="O14" s="12" t="n"/>
      <c r="P14" s="13" t="n"/>
      <c r="Q14" s="13" t="n"/>
      <c r="R14" s="13" t="n"/>
      <c r="S14" s="11" t="n"/>
      <c r="T14" s="11" t="n"/>
      <c r="U14" s="13" t="n"/>
      <c r="V14" s="11" t="n"/>
      <c r="W14" s="12" t="n"/>
      <c r="X14" s="12" t="n"/>
      <c r="Y14" s="11" t="n"/>
      <c r="Z14" s="14">
        <f>IF(A14="","",IF(Y14&lt;&gt;"",Y14-B14,TODAY()-B14))</f>
        <v/>
      </c>
      <c r="AA14" s="14">
        <f>IF(A14="","",IF(AND(Y14="",TODAY()&gt;S14),"OVERDUE",IF(AND(Y14&lt;&gt;"",Y14&gt;S14),"CLOSED LATE","")))</f>
        <v/>
      </c>
      <c r="AB14" s="12" t="n"/>
      <c r="AC14" s="13" t="n"/>
      <c r="AD14" s="21" t="n"/>
      <c r="AE14" s="12" t="n"/>
      <c r="AF14" s="14">
        <f>IF(A14="","",IF(Y14&lt;&gt;"","Closed",IF(TODAY()&gt;S14,"Overdue","Open")))</f>
        <v/>
      </c>
      <c r="AG14" s="12" t="n"/>
      <c r="AH14" s="13" t="n"/>
      <c r="AI14" s="12" t="n"/>
      <c r="AJ14" s="14">
        <f>IF(A14="","",IF(OR(C14="Major",C14="Systemic"),4,IF(C14="Minor",1,0))+IF(AND(Y14="",S14&lt;&gt;"",TODAY()&gt;S14),3,0)+IF(AB14="Yes",3,0)+IF(AG14="Yes",2,0)+IF(AND(Y14="",AE14&gt;=14),2,0)+IF(AND(Y14="",AD14&gt;=100000),2,0)+IF(AND(Y14&lt;&gt;"",V14=""),3,0)+IF(AND(Y14&lt;&gt;"",X14=""),2,0)+IF(AND(Y14&lt;&gt;"",Z14&gt;90),1,0))</f>
        <v/>
      </c>
      <c r="AK14" s="14">
        <f>IF(AJ14="","",IF(AJ14&gt;=10,"CRITICAL",IF(AJ14&gt;=6,"HIGH",IF(AJ14&gt;=3,"WATCH","LOW"))))</f>
        <v/>
      </c>
      <c r="AL14" s="20">
        <f>IF(AJ14="","",TRIM(IF(OR(C14="Major",C14="Systemic"),"major or systemic; ","")&amp;IF(AND(Y14="",S14&lt;&gt;"",TODAY()&gt;S14),"open past agreed date; ","")&amp;IF(AB14="Yes","authority or NOC linked; ","")&amp;IF(AG14="Yes","repeat of a previous NCR; ","")&amp;IF(AND(Y14="",AE14&gt;=14),"programme impact 14 days or more; ","")&amp;IF(AND(Y14="",AD14&gt;=100000),"cost impact AED 100,000 or more; ","")&amp;IF(AND(Y14&lt;&gt;"",V14=""),"closed with no verification date; ","")&amp;IF(AND(Y14&lt;&gt;"",X14=""),"closed without a closure certificate; ","")&amp;IF(AND(Y14&lt;&gt;"",Z14&gt;90),"closed more than 90 days after raising; ","")))</f>
        <v/>
      </c>
    </row>
    <row r="15">
      <c r="A15" s="10" t="n"/>
      <c r="B15" s="11" t="n"/>
      <c r="C15" s="12" t="n"/>
      <c r="D15" s="12" t="n"/>
      <c r="E15" s="12" t="n"/>
      <c r="F15" s="13" t="n"/>
      <c r="G15" s="13" t="n"/>
      <c r="H15" s="13" t="n"/>
      <c r="I15" s="13" t="n"/>
      <c r="J15" s="13" t="n"/>
      <c r="K15" s="13" t="n"/>
      <c r="L15" s="13" t="n"/>
      <c r="M15" s="11" t="n"/>
      <c r="N15" s="11" t="n"/>
      <c r="O15" s="12" t="n"/>
      <c r="P15" s="13" t="n"/>
      <c r="Q15" s="13" t="n"/>
      <c r="R15" s="13" t="n"/>
      <c r="S15" s="11" t="n"/>
      <c r="T15" s="11" t="n"/>
      <c r="U15" s="13" t="n"/>
      <c r="V15" s="11" t="n"/>
      <c r="W15" s="12" t="n"/>
      <c r="X15" s="12" t="n"/>
      <c r="Y15" s="11" t="n"/>
      <c r="Z15" s="14">
        <f>IF(A15="","",IF(Y15&lt;&gt;"",Y15-B15,TODAY()-B15))</f>
        <v/>
      </c>
      <c r="AA15" s="14">
        <f>IF(A15="","",IF(AND(Y15="",TODAY()&gt;S15),"OVERDUE",IF(AND(Y15&lt;&gt;"",Y15&gt;S15),"CLOSED LATE","")))</f>
        <v/>
      </c>
      <c r="AB15" s="12" t="n"/>
      <c r="AC15" s="13" t="n"/>
      <c r="AD15" s="21" t="n"/>
      <c r="AE15" s="12" t="n"/>
      <c r="AF15" s="14">
        <f>IF(A15="","",IF(Y15&lt;&gt;"","Closed",IF(TODAY()&gt;S15,"Overdue","Open")))</f>
        <v/>
      </c>
      <c r="AG15" s="12" t="n"/>
      <c r="AH15" s="13" t="n"/>
      <c r="AI15" s="12" t="n"/>
      <c r="AJ15" s="14">
        <f>IF(A15="","",IF(OR(C15="Major",C15="Systemic"),4,IF(C15="Minor",1,0))+IF(AND(Y15="",S15&lt;&gt;"",TODAY()&gt;S15),3,0)+IF(AB15="Yes",3,0)+IF(AG15="Yes",2,0)+IF(AND(Y15="",AE15&gt;=14),2,0)+IF(AND(Y15="",AD15&gt;=100000),2,0)+IF(AND(Y15&lt;&gt;"",V15=""),3,0)+IF(AND(Y15&lt;&gt;"",X15=""),2,0)+IF(AND(Y15&lt;&gt;"",Z15&gt;90),1,0))</f>
        <v/>
      </c>
      <c r="AK15" s="14">
        <f>IF(AJ15="","",IF(AJ15&gt;=10,"CRITICAL",IF(AJ15&gt;=6,"HIGH",IF(AJ15&gt;=3,"WATCH","LOW"))))</f>
        <v/>
      </c>
      <c r="AL15" s="20">
        <f>IF(AJ15="","",TRIM(IF(OR(C15="Major",C15="Systemic"),"major or systemic; ","")&amp;IF(AND(Y15="",S15&lt;&gt;"",TODAY()&gt;S15),"open past agreed date; ","")&amp;IF(AB15="Yes","authority or NOC linked; ","")&amp;IF(AG15="Yes","repeat of a previous NCR; ","")&amp;IF(AND(Y15="",AE15&gt;=14),"programme impact 14 days or more; ","")&amp;IF(AND(Y15="",AD15&gt;=100000),"cost impact AED 100,000 or more; ","")&amp;IF(AND(Y15&lt;&gt;"",V15=""),"closed with no verification date; ","")&amp;IF(AND(Y15&lt;&gt;"",X15=""),"closed without a closure certificate; ","")&amp;IF(AND(Y15&lt;&gt;"",Z15&gt;90),"closed more than 90 days after raising; ","")))</f>
        <v/>
      </c>
    </row>
    <row r="16">
      <c r="A16" s="10" t="n"/>
      <c r="B16" s="11" t="n"/>
      <c r="C16" s="12" t="n"/>
      <c r="D16" s="12" t="n"/>
      <c r="E16" s="12" t="n"/>
      <c r="F16" s="13" t="n"/>
      <c r="G16" s="13" t="n"/>
      <c r="H16" s="13" t="n"/>
      <c r="I16" s="13" t="n"/>
      <c r="J16" s="13" t="n"/>
      <c r="K16" s="13" t="n"/>
      <c r="L16" s="13" t="n"/>
      <c r="M16" s="11" t="n"/>
      <c r="N16" s="11" t="n"/>
      <c r="O16" s="12" t="n"/>
      <c r="P16" s="13" t="n"/>
      <c r="Q16" s="13" t="n"/>
      <c r="R16" s="13" t="n"/>
      <c r="S16" s="11" t="n"/>
      <c r="T16" s="11" t="n"/>
      <c r="U16" s="13" t="n"/>
      <c r="V16" s="11" t="n"/>
      <c r="W16" s="12" t="n"/>
      <c r="X16" s="12" t="n"/>
      <c r="Y16" s="11" t="n"/>
      <c r="Z16" s="14">
        <f>IF(A16="","",IF(Y16&lt;&gt;"",Y16-B16,TODAY()-B16))</f>
        <v/>
      </c>
      <c r="AA16" s="14">
        <f>IF(A16="","",IF(AND(Y16="",TODAY()&gt;S16),"OVERDUE",IF(AND(Y16&lt;&gt;"",Y16&gt;S16),"CLOSED LATE","")))</f>
        <v/>
      </c>
      <c r="AB16" s="12" t="n"/>
      <c r="AC16" s="13" t="n"/>
      <c r="AD16" s="21" t="n"/>
      <c r="AE16" s="12" t="n"/>
      <c r="AF16" s="14">
        <f>IF(A16="","",IF(Y16&lt;&gt;"","Closed",IF(TODAY()&gt;S16,"Overdue","Open")))</f>
        <v/>
      </c>
      <c r="AG16" s="12" t="n"/>
      <c r="AH16" s="13" t="n"/>
      <c r="AI16" s="12" t="n"/>
      <c r="AJ16" s="14">
        <f>IF(A16="","",IF(OR(C16="Major",C16="Systemic"),4,IF(C16="Minor",1,0))+IF(AND(Y16="",S16&lt;&gt;"",TODAY()&gt;S16),3,0)+IF(AB16="Yes",3,0)+IF(AG16="Yes",2,0)+IF(AND(Y16="",AE16&gt;=14),2,0)+IF(AND(Y16="",AD16&gt;=100000),2,0)+IF(AND(Y16&lt;&gt;"",V16=""),3,0)+IF(AND(Y16&lt;&gt;"",X16=""),2,0)+IF(AND(Y16&lt;&gt;"",Z16&gt;90),1,0))</f>
        <v/>
      </c>
      <c r="AK16" s="14">
        <f>IF(AJ16="","",IF(AJ16&gt;=10,"CRITICAL",IF(AJ16&gt;=6,"HIGH",IF(AJ16&gt;=3,"WATCH","LOW"))))</f>
        <v/>
      </c>
      <c r="AL16" s="20">
        <f>IF(AJ16="","",TRIM(IF(OR(C16="Major",C16="Systemic"),"major or systemic; ","")&amp;IF(AND(Y16="",S16&lt;&gt;"",TODAY()&gt;S16),"open past agreed date; ","")&amp;IF(AB16="Yes","authority or NOC linked; ","")&amp;IF(AG16="Yes","repeat of a previous NCR; ","")&amp;IF(AND(Y16="",AE16&gt;=14),"programme impact 14 days or more; ","")&amp;IF(AND(Y16="",AD16&gt;=100000),"cost impact AED 100,000 or more; ","")&amp;IF(AND(Y16&lt;&gt;"",V16=""),"closed with no verification date; ","")&amp;IF(AND(Y16&lt;&gt;"",X16=""),"closed without a closure certificate; ","")&amp;IF(AND(Y16&lt;&gt;"",Z16&gt;90),"closed more than 90 days after raising; ","")))</f>
        <v/>
      </c>
    </row>
    <row r="17">
      <c r="A17" s="10" t="n"/>
      <c r="B17" s="11" t="n"/>
      <c r="C17" s="12" t="n"/>
      <c r="D17" s="12" t="n"/>
      <c r="E17" s="12" t="n"/>
      <c r="F17" s="13" t="n"/>
      <c r="G17" s="13" t="n"/>
      <c r="H17" s="13" t="n"/>
      <c r="I17" s="13" t="n"/>
      <c r="J17" s="13" t="n"/>
      <c r="K17" s="13" t="n"/>
      <c r="L17" s="13" t="n"/>
      <c r="M17" s="11" t="n"/>
      <c r="N17" s="11" t="n"/>
      <c r="O17" s="12" t="n"/>
      <c r="P17" s="13" t="n"/>
      <c r="Q17" s="13" t="n"/>
      <c r="R17" s="13" t="n"/>
      <c r="S17" s="11" t="n"/>
      <c r="T17" s="11" t="n"/>
      <c r="U17" s="13" t="n"/>
      <c r="V17" s="11" t="n"/>
      <c r="W17" s="12" t="n"/>
      <c r="X17" s="12" t="n"/>
      <c r="Y17" s="11" t="n"/>
      <c r="Z17" s="14">
        <f>IF(A17="","",IF(Y17&lt;&gt;"",Y17-B17,TODAY()-B17))</f>
        <v/>
      </c>
      <c r="AA17" s="14">
        <f>IF(A17="","",IF(AND(Y17="",TODAY()&gt;S17),"OVERDUE",IF(AND(Y17&lt;&gt;"",Y17&gt;S17),"CLOSED LATE","")))</f>
        <v/>
      </c>
      <c r="AB17" s="12" t="n"/>
      <c r="AC17" s="13" t="n"/>
      <c r="AD17" s="21" t="n"/>
      <c r="AE17" s="12" t="n"/>
      <c r="AF17" s="14">
        <f>IF(A17="","",IF(Y17&lt;&gt;"","Closed",IF(TODAY()&gt;S17,"Overdue","Open")))</f>
        <v/>
      </c>
      <c r="AG17" s="12" t="n"/>
      <c r="AH17" s="13" t="n"/>
      <c r="AI17" s="12" t="n"/>
      <c r="AJ17" s="14">
        <f>IF(A17="","",IF(OR(C17="Major",C17="Systemic"),4,IF(C17="Minor",1,0))+IF(AND(Y17="",S17&lt;&gt;"",TODAY()&gt;S17),3,0)+IF(AB17="Yes",3,0)+IF(AG17="Yes",2,0)+IF(AND(Y17="",AE17&gt;=14),2,0)+IF(AND(Y17="",AD17&gt;=100000),2,0)+IF(AND(Y17&lt;&gt;"",V17=""),3,0)+IF(AND(Y17&lt;&gt;"",X17=""),2,0)+IF(AND(Y17&lt;&gt;"",Z17&gt;90),1,0))</f>
        <v/>
      </c>
      <c r="AK17" s="14">
        <f>IF(AJ17="","",IF(AJ17&gt;=10,"CRITICAL",IF(AJ17&gt;=6,"HIGH",IF(AJ17&gt;=3,"WATCH","LOW"))))</f>
        <v/>
      </c>
      <c r="AL17" s="20">
        <f>IF(AJ17="","",TRIM(IF(OR(C17="Major",C17="Systemic"),"major or systemic; ","")&amp;IF(AND(Y17="",S17&lt;&gt;"",TODAY()&gt;S17),"open past agreed date; ","")&amp;IF(AB17="Yes","authority or NOC linked; ","")&amp;IF(AG17="Yes","repeat of a previous NCR; ","")&amp;IF(AND(Y17="",AE17&gt;=14),"programme impact 14 days or more; ","")&amp;IF(AND(Y17="",AD17&gt;=100000),"cost impact AED 100,000 or more; ","")&amp;IF(AND(Y17&lt;&gt;"",V17=""),"closed with no verification date; ","")&amp;IF(AND(Y17&lt;&gt;"",X17=""),"closed without a closure certificate; ","")&amp;IF(AND(Y17&lt;&gt;"",Z17&gt;90),"closed more than 90 days after raising; ","")))</f>
        <v/>
      </c>
    </row>
    <row r="18">
      <c r="A18" s="10" t="n"/>
      <c r="B18" s="11" t="n"/>
      <c r="C18" s="12" t="n"/>
      <c r="D18" s="12" t="n"/>
      <c r="E18" s="12" t="n"/>
      <c r="F18" s="13" t="n"/>
      <c r="G18" s="13" t="n"/>
      <c r="H18" s="13" t="n"/>
      <c r="I18" s="13" t="n"/>
      <c r="J18" s="13" t="n"/>
      <c r="K18" s="13" t="n"/>
      <c r="L18" s="13" t="n"/>
      <c r="M18" s="11" t="n"/>
      <c r="N18" s="11" t="n"/>
      <c r="O18" s="12" t="n"/>
      <c r="P18" s="13" t="n"/>
      <c r="Q18" s="13" t="n"/>
      <c r="R18" s="13" t="n"/>
      <c r="S18" s="11" t="n"/>
      <c r="T18" s="11" t="n"/>
      <c r="U18" s="13" t="n"/>
      <c r="V18" s="11" t="n"/>
      <c r="W18" s="12" t="n"/>
      <c r="X18" s="12" t="n"/>
      <c r="Y18" s="11" t="n"/>
      <c r="Z18" s="14">
        <f>IF(A18="","",IF(Y18&lt;&gt;"",Y18-B18,TODAY()-B18))</f>
        <v/>
      </c>
      <c r="AA18" s="14">
        <f>IF(A18="","",IF(AND(Y18="",TODAY()&gt;S18),"OVERDUE",IF(AND(Y18&lt;&gt;"",Y18&gt;S18),"CLOSED LATE","")))</f>
        <v/>
      </c>
      <c r="AB18" s="12" t="n"/>
      <c r="AC18" s="13" t="n"/>
      <c r="AD18" s="21" t="n"/>
      <c r="AE18" s="12" t="n"/>
      <c r="AF18" s="14">
        <f>IF(A18="","",IF(Y18&lt;&gt;"","Closed",IF(TODAY()&gt;S18,"Overdue","Open")))</f>
        <v/>
      </c>
      <c r="AG18" s="12" t="n"/>
      <c r="AH18" s="13" t="n"/>
      <c r="AI18" s="12" t="n"/>
      <c r="AJ18" s="14">
        <f>IF(A18="","",IF(OR(C18="Major",C18="Systemic"),4,IF(C18="Minor",1,0))+IF(AND(Y18="",S18&lt;&gt;"",TODAY()&gt;S18),3,0)+IF(AB18="Yes",3,0)+IF(AG18="Yes",2,0)+IF(AND(Y18="",AE18&gt;=14),2,0)+IF(AND(Y18="",AD18&gt;=100000),2,0)+IF(AND(Y18&lt;&gt;"",V18=""),3,0)+IF(AND(Y18&lt;&gt;"",X18=""),2,0)+IF(AND(Y18&lt;&gt;"",Z18&gt;90),1,0))</f>
        <v/>
      </c>
      <c r="AK18" s="14">
        <f>IF(AJ18="","",IF(AJ18&gt;=10,"CRITICAL",IF(AJ18&gt;=6,"HIGH",IF(AJ18&gt;=3,"WATCH","LOW"))))</f>
        <v/>
      </c>
      <c r="AL18" s="20">
        <f>IF(AJ18="","",TRIM(IF(OR(C18="Major",C18="Systemic"),"major or systemic; ","")&amp;IF(AND(Y18="",S18&lt;&gt;"",TODAY()&gt;S18),"open past agreed date; ","")&amp;IF(AB18="Yes","authority or NOC linked; ","")&amp;IF(AG18="Yes","repeat of a previous NCR; ","")&amp;IF(AND(Y18="",AE18&gt;=14),"programme impact 14 days or more; ","")&amp;IF(AND(Y18="",AD18&gt;=100000),"cost impact AED 100,000 or more; ","")&amp;IF(AND(Y18&lt;&gt;"",V18=""),"closed with no verification date; ","")&amp;IF(AND(Y18&lt;&gt;"",X18=""),"closed without a closure certificate; ","")&amp;IF(AND(Y18&lt;&gt;"",Z18&gt;90),"closed more than 90 days after raising; ","")))</f>
        <v/>
      </c>
    </row>
    <row r="19">
      <c r="A19" s="10" t="n"/>
      <c r="B19" s="11" t="n"/>
      <c r="C19" s="12" t="n"/>
      <c r="D19" s="12" t="n"/>
      <c r="E19" s="12" t="n"/>
      <c r="F19" s="13" t="n"/>
      <c r="G19" s="13" t="n"/>
      <c r="H19" s="13" t="n"/>
      <c r="I19" s="13" t="n"/>
      <c r="J19" s="13" t="n"/>
      <c r="K19" s="13" t="n"/>
      <c r="L19" s="13" t="n"/>
      <c r="M19" s="11" t="n"/>
      <c r="N19" s="11" t="n"/>
      <c r="O19" s="12" t="n"/>
      <c r="P19" s="13" t="n"/>
      <c r="Q19" s="13" t="n"/>
      <c r="R19" s="13" t="n"/>
      <c r="S19" s="11" t="n"/>
      <c r="T19" s="11" t="n"/>
      <c r="U19" s="13" t="n"/>
      <c r="V19" s="11" t="n"/>
      <c r="W19" s="12" t="n"/>
      <c r="X19" s="12" t="n"/>
      <c r="Y19" s="11" t="n"/>
      <c r="Z19" s="14">
        <f>IF(A19="","",IF(Y19&lt;&gt;"",Y19-B19,TODAY()-B19))</f>
        <v/>
      </c>
      <c r="AA19" s="14">
        <f>IF(A19="","",IF(AND(Y19="",TODAY()&gt;S19),"OVERDUE",IF(AND(Y19&lt;&gt;"",Y19&gt;S19),"CLOSED LATE","")))</f>
        <v/>
      </c>
      <c r="AB19" s="12" t="n"/>
      <c r="AC19" s="13" t="n"/>
      <c r="AD19" s="21" t="n"/>
      <c r="AE19" s="12" t="n"/>
      <c r="AF19" s="14">
        <f>IF(A19="","",IF(Y19&lt;&gt;"","Closed",IF(TODAY()&gt;S19,"Overdue","Open")))</f>
        <v/>
      </c>
      <c r="AG19" s="12" t="n"/>
      <c r="AH19" s="13" t="n"/>
      <c r="AI19" s="12" t="n"/>
      <c r="AJ19" s="14">
        <f>IF(A19="","",IF(OR(C19="Major",C19="Systemic"),4,IF(C19="Minor",1,0))+IF(AND(Y19="",S19&lt;&gt;"",TODAY()&gt;S19),3,0)+IF(AB19="Yes",3,0)+IF(AG19="Yes",2,0)+IF(AND(Y19="",AE19&gt;=14),2,0)+IF(AND(Y19="",AD19&gt;=100000),2,0)+IF(AND(Y19&lt;&gt;"",V19=""),3,0)+IF(AND(Y19&lt;&gt;"",X19=""),2,0)+IF(AND(Y19&lt;&gt;"",Z19&gt;90),1,0))</f>
        <v/>
      </c>
      <c r="AK19" s="14">
        <f>IF(AJ19="","",IF(AJ19&gt;=10,"CRITICAL",IF(AJ19&gt;=6,"HIGH",IF(AJ19&gt;=3,"WATCH","LOW"))))</f>
        <v/>
      </c>
      <c r="AL19" s="20">
        <f>IF(AJ19="","",TRIM(IF(OR(C19="Major",C19="Systemic"),"major or systemic; ","")&amp;IF(AND(Y19="",S19&lt;&gt;"",TODAY()&gt;S19),"open past agreed date; ","")&amp;IF(AB19="Yes","authority or NOC linked; ","")&amp;IF(AG19="Yes","repeat of a previous NCR; ","")&amp;IF(AND(Y19="",AE19&gt;=14),"programme impact 14 days or more; ","")&amp;IF(AND(Y19="",AD19&gt;=100000),"cost impact AED 100,000 or more; ","")&amp;IF(AND(Y19&lt;&gt;"",V19=""),"closed with no verification date; ","")&amp;IF(AND(Y19&lt;&gt;"",X19=""),"closed without a closure certificate; ","")&amp;IF(AND(Y19&lt;&gt;"",Z19&gt;90),"closed more than 90 days after raising; ","")))</f>
        <v/>
      </c>
    </row>
    <row r="20">
      <c r="A20" s="10" t="n"/>
      <c r="B20" s="11" t="n"/>
      <c r="C20" s="12" t="n"/>
      <c r="D20" s="12" t="n"/>
      <c r="E20" s="12" t="n"/>
      <c r="F20" s="13" t="n"/>
      <c r="G20" s="13" t="n"/>
      <c r="H20" s="13" t="n"/>
      <c r="I20" s="13" t="n"/>
      <c r="J20" s="13" t="n"/>
      <c r="K20" s="13" t="n"/>
      <c r="L20" s="13" t="n"/>
      <c r="M20" s="11" t="n"/>
      <c r="N20" s="11" t="n"/>
      <c r="O20" s="12" t="n"/>
      <c r="P20" s="13" t="n"/>
      <c r="Q20" s="13" t="n"/>
      <c r="R20" s="13" t="n"/>
      <c r="S20" s="11" t="n"/>
      <c r="T20" s="11" t="n"/>
      <c r="U20" s="13" t="n"/>
      <c r="V20" s="11" t="n"/>
      <c r="W20" s="12" t="n"/>
      <c r="X20" s="12" t="n"/>
      <c r="Y20" s="11" t="n"/>
      <c r="Z20" s="14">
        <f>IF(A20="","",IF(Y20&lt;&gt;"",Y20-B20,TODAY()-B20))</f>
        <v/>
      </c>
      <c r="AA20" s="14">
        <f>IF(A20="","",IF(AND(Y20="",TODAY()&gt;S20),"OVERDUE",IF(AND(Y20&lt;&gt;"",Y20&gt;S20),"CLOSED LATE","")))</f>
        <v/>
      </c>
      <c r="AB20" s="12" t="n"/>
      <c r="AC20" s="13" t="n"/>
      <c r="AD20" s="21" t="n"/>
      <c r="AE20" s="12" t="n"/>
      <c r="AF20" s="14">
        <f>IF(A20="","",IF(Y20&lt;&gt;"","Closed",IF(TODAY()&gt;S20,"Overdue","Open")))</f>
        <v/>
      </c>
      <c r="AG20" s="12" t="n"/>
      <c r="AH20" s="13" t="n"/>
      <c r="AI20" s="12" t="n"/>
      <c r="AJ20" s="14">
        <f>IF(A20="","",IF(OR(C20="Major",C20="Systemic"),4,IF(C20="Minor",1,0))+IF(AND(Y20="",S20&lt;&gt;"",TODAY()&gt;S20),3,0)+IF(AB20="Yes",3,0)+IF(AG20="Yes",2,0)+IF(AND(Y20="",AE20&gt;=14),2,0)+IF(AND(Y20="",AD20&gt;=100000),2,0)+IF(AND(Y20&lt;&gt;"",V20=""),3,0)+IF(AND(Y20&lt;&gt;"",X20=""),2,0)+IF(AND(Y20&lt;&gt;"",Z20&gt;90),1,0))</f>
        <v/>
      </c>
      <c r="AK20" s="14">
        <f>IF(AJ20="","",IF(AJ20&gt;=10,"CRITICAL",IF(AJ20&gt;=6,"HIGH",IF(AJ20&gt;=3,"WATCH","LOW"))))</f>
        <v/>
      </c>
      <c r="AL20" s="20">
        <f>IF(AJ20="","",TRIM(IF(OR(C20="Major",C20="Systemic"),"major or systemic; ","")&amp;IF(AND(Y20="",S20&lt;&gt;"",TODAY()&gt;S20),"open past agreed date; ","")&amp;IF(AB20="Yes","authority or NOC linked; ","")&amp;IF(AG20="Yes","repeat of a previous NCR; ","")&amp;IF(AND(Y20="",AE20&gt;=14),"programme impact 14 days or more; ","")&amp;IF(AND(Y20="",AD20&gt;=100000),"cost impact AED 100,000 or more; ","")&amp;IF(AND(Y20&lt;&gt;"",V20=""),"closed with no verification date; ","")&amp;IF(AND(Y20&lt;&gt;"",X20=""),"closed without a closure certificate; ","")&amp;IF(AND(Y20&lt;&gt;"",Z20&gt;90),"closed more than 90 days after raising; ","")))</f>
        <v/>
      </c>
    </row>
    <row r="21">
      <c r="A21" s="10" t="n"/>
      <c r="B21" s="11" t="n"/>
      <c r="C21" s="12" t="n"/>
      <c r="D21" s="12" t="n"/>
      <c r="E21" s="12" t="n"/>
      <c r="F21" s="13" t="n"/>
      <c r="G21" s="13" t="n"/>
      <c r="H21" s="13" t="n"/>
      <c r="I21" s="13" t="n"/>
      <c r="J21" s="13" t="n"/>
      <c r="K21" s="13" t="n"/>
      <c r="L21" s="13" t="n"/>
      <c r="M21" s="11" t="n"/>
      <c r="N21" s="11" t="n"/>
      <c r="O21" s="12" t="n"/>
      <c r="P21" s="13" t="n"/>
      <c r="Q21" s="13" t="n"/>
      <c r="R21" s="13" t="n"/>
      <c r="S21" s="11" t="n"/>
      <c r="T21" s="11" t="n"/>
      <c r="U21" s="13" t="n"/>
      <c r="V21" s="11" t="n"/>
      <c r="W21" s="12" t="n"/>
      <c r="X21" s="12" t="n"/>
      <c r="Y21" s="11" t="n"/>
      <c r="Z21" s="14">
        <f>IF(A21="","",IF(Y21&lt;&gt;"",Y21-B21,TODAY()-B21))</f>
        <v/>
      </c>
      <c r="AA21" s="14">
        <f>IF(A21="","",IF(AND(Y21="",TODAY()&gt;S21),"OVERDUE",IF(AND(Y21&lt;&gt;"",Y21&gt;S21),"CLOSED LATE","")))</f>
        <v/>
      </c>
      <c r="AB21" s="12" t="n"/>
      <c r="AC21" s="13" t="n"/>
      <c r="AD21" s="21" t="n"/>
      <c r="AE21" s="12" t="n"/>
      <c r="AF21" s="14">
        <f>IF(A21="","",IF(Y21&lt;&gt;"","Closed",IF(TODAY()&gt;S21,"Overdue","Open")))</f>
        <v/>
      </c>
      <c r="AG21" s="12" t="n"/>
      <c r="AH21" s="13" t="n"/>
      <c r="AI21" s="12" t="n"/>
      <c r="AJ21" s="14">
        <f>IF(A21="","",IF(OR(C21="Major",C21="Systemic"),4,IF(C21="Minor",1,0))+IF(AND(Y21="",S21&lt;&gt;"",TODAY()&gt;S21),3,0)+IF(AB21="Yes",3,0)+IF(AG21="Yes",2,0)+IF(AND(Y21="",AE21&gt;=14),2,0)+IF(AND(Y21="",AD21&gt;=100000),2,0)+IF(AND(Y21&lt;&gt;"",V21=""),3,0)+IF(AND(Y21&lt;&gt;"",X21=""),2,0)+IF(AND(Y21&lt;&gt;"",Z21&gt;90),1,0))</f>
        <v/>
      </c>
      <c r="AK21" s="14">
        <f>IF(AJ21="","",IF(AJ21&gt;=10,"CRITICAL",IF(AJ21&gt;=6,"HIGH",IF(AJ21&gt;=3,"WATCH","LOW"))))</f>
        <v/>
      </c>
      <c r="AL21" s="20">
        <f>IF(AJ21="","",TRIM(IF(OR(C21="Major",C21="Systemic"),"major or systemic; ","")&amp;IF(AND(Y21="",S21&lt;&gt;"",TODAY()&gt;S21),"open past agreed date; ","")&amp;IF(AB21="Yes","authority or NOC linked; ","")&amp;IF(AG21="Yes","repeat of a previous NCR; ","")&amp;IF(AND(Y21="",AE21&gt;=14),"programme impact 14 days or more; ","")&amp;IF(AND(Y21="",AD21&gt;=100000),"cost impact AED 100,000 or more; ","")&amp;IF(AND(Y21&lt;&gt;"",V21=""),"closed with no verification date; ","")&amp;IF(AND(Y21&lt;&gt;"",X21=""),"closed without a closure certificate; ","")&amp;IF(AND(Y21&lt;&gt;"",Z21&gt;90),"closed more than 90 days after raising; ","")))</f>
        <v/>
      </c>
    </row>
    <row r="22">
      <c r="A22" s="10" t="n"/>
      <c r="B22" s="11" t="n"/>
      <c r="C22" s="12" t="n"/>
      <c r="D22" s="12" t="n"/>
      <c r="E22" s="12" t="n"/>
      <c r="F22" s="13" t="n"/>
      <c r="G22" s="13" t="n"/>
      <c r="H22" s="13" t="n"/>
      <c r="I22" s="13" t="n"/>
      <c r="J22" s="13" t="n"/>
      <c r="K22" s="13" t="n"/>
      <c r="L22" s="13" t="n"/>
      <c r="M22" s="11" t="n"/>
      <c r="N22" s="11" t="n"/>
      <c r="O22" s="12" t="n"/>
      <c r="P22" s="13" t="n"/>
      <c r="Q22" s="13" t="n"/>
      <c r="R22" s="13" t="n"/>
      <c r="S22" s="11" t="n"/>
      <c r="T22" s="11" t="n"/>
      <c r="U22" s="13" t="n"/>
      <c r="V22" s="11" t="n"/>
      <c r="W22" s="12" t="n"/>
      <c r="X22" s="12" t="n"/>
      <c r="Y22" s="11" t="n"/>
      <c r="Z22" s="14">
        <f>IF(A22="","",IF(Y22&lt;&gt;"",Y22-B22,TODAY()-B22))</f>
        <v/>
      </c>
      <c r="AA22" s="14">
        <f>IF(A22="","",IF(AND(Y22="",TODAY()&gt;S22),"OVERDUE",IF(AND(Y22&lt;&gt;"",Y22&gt;S22),"CLOSED LATE","")))</f>
        <v/>
      </c>
      <c r="AB22" s="12" t="n"/>
      <c r="AC22" s="13" t="n"/>
      <c r="AD22" s="21" t="n"/>
      <c r="AE22" s="12" t="n"/>
      <c r="AF22" s="14">
        <f>IF(A22="","",IF(Y22&lt;&gt;"","Closed",IF(TODAY()&gt;S22,"Overdue","Open")))</f>
        <v/>
      </c>
      <c r="AG22" s="12" t="n"/>
      <c r="AH22" s="13" t="n"/>
      <c r="AI22" s="12" t="n"/>
      <c r="AJ22" s="14">
        <f>IF(A22="","",IF(OR(C22="Major",C22="Systemic"),4,IF(C22="Minor",1,0))+IF(AND(Y22="",S22&lt;&gt;"",TODAY()&gt;S22),3,0)+IF(AB22="Yes",3,0)+IF(AG22="Yes",2,0)+IF(AND(Y22="",AE22&gt;=14),2,0)+IF(AND(Y22="",AD22&gt;=100000),2,0)+IF(AND(Y22&lt;&gt;"",V22=""),3,0)+IF(AND(Y22&lt;&gt;"",X22=""),2,0)+IF(AND(Y22&lt;&gt;"",Z22&gt;90),1,0))</f>
        <v/>
      </c>
      <c r="AK22" s="14">
        <f>IF(AJ22="","",IF(AJ22&gt;=10,"CRITICAL",IF(AJ22&gt;=6,"HIGH",IF(AJ22&gt;=3,"WATCH","LOW"))))</f>
        <v/>
      </c>
      <c r="AL22" s="20">
        <f>IF(AJ22="","",TRIM(IF(OR(C22="Major",C22="Systemic"),"major or systemic; ","")&amp;IF(AND(Y22="",S22&lt;&gt;"",TODAY()&gt;S22),"open past agreed date; ","")&amp;IF(AB22="Yes","authority or NOC linked; ","")&amp;IF(AG22="Yes","repeat of a previous NCR; ","")&amp;IF(AND(Y22="",AE22&gt;=14),"programme impact 14 days or more; ","")&amp;IF(AND(Y22="",AD22&gt;=100000),"cost impact AED 100,000 or more; ","")&amp;IF(AND(Y22&lt;&gt;"",V22=""),"closed with no verification date; ","")&amp;IF(AND(Y22&lt;&gt;"",X22=""),"closed without a closure certificate; ","")&amp;IF(AND(Y22&lt;&gt;"",Z22&gt;90),"closed more than 90 days after raising; ","")))</f>
        <v/>
      </c>
    </row>
    <row r="23">
      <c r="A23" s="10" t="n"/>
      <c r="B23" s="11" t="n"/>
      <c r="C23" s="12" t="n"/>
      <c r="D23" s="12" t="n"/>
      <c r="E23" s="12" t="n"/>
      <c r="F23" s="13" t="n"/>
      <c r="G23" s="13" t="n"/>
      <c r="H23" s="13" t="n"/>
      <c r="I23" s="13" t="n"/>
      <c r="J23" s="13" t="n"/>
      <c r="K23" s="13" t="n"/>
      <c r="L23" s="13" t="n"/>
      <c r="M23" s="11" t="n"/>
      <c r="N23" s="11" t="n"/>
      <c r="O23" s="12" t="n"/>
      <c r="P23" s="13" t="n"/>
      <c r="Q23" s="13" t="n"/>
      <c r="R23" s="13" t="n"/>
      <c r="S23" s="11" t="n"/>
      <c r="T23" s="11" t="n"/>
      <c r="U23" s="13" t="n"/>
      <c r="V23" s="11" t="n"/>
      <c r="W23" s="12" t="n"/>
      <c r="X23" s="12" t="n"/>
      <c r="Y23" s="11" t="n"/>
      <c r="Z23" s="14">
        <f>IF(A23="","",IF(Y23&lt;&gt;"",Y23-B23,TODAY()-B23))</f>
        <v/>
      </c>
      <c r="AA23" s="14">
        <f>IF(A23="","",IF(AND(Y23="",TODAY()&gt;S23),"OVERDUE",IF(AND(Y23&lt;&gt;"",Y23&gt;S23),"CLOSED LATE","")))</f>
        <v/>
      </c>
      <c r="AB23" s="12" t="n"/>
      <c r="AC23" s="13" t="n"/>
      <c r="AD23" s="21" t="n"/>
      <c r="AE23" s="12" t="n"/>
      <c r="AF23" s="14">
        <f>IF(A23="","",IF(Y23&lt;&gt;"","Closed",IF(TODAY()&gt;S23,"Overdue","Open")))</f>
        <v/>
      </c>
      <c r="AG23" s="12" t="n"/>
      <c r="AH23" s="13" t="n"/>
      <c r="AI23" s="12" t="n"/>
      <c r="AJ23" s="14">
        <f>IF(A23="","",IF(OR(C23="Major",C23="Systemic"),4,IF(C23="Minor",1,0))+IF(AND(Y23="",S23&lt;&gt;"",TODAY()&gt;S23),3,0)+IF(AB23="Yes",3,0)+IF(AG23="Yes",2,0)+IF(AND(Y23="",AE23&gt;=14),2,0)+IF(AND(Y23="",AD23&gt;=100000),2,0)+IF(AND(Y23&lt;&gt;"",V23=""),3,0)+IF(AND(Y23&lt;&gt;"",X23=""),2,0)+IF(AND(Y23&lt;&gt;"",Z23&gt;90),1,0))</f>
        <v/>
      </c>
      <c r="AK23" s="14">
        <f>IF(AJ23="","",IF(AJ23&gt;=10,"CRITICAL",IF(AJ23&gt;=6,"HIGH",IF(AJ23&gt;=3,"WATCH","LOW"))))</f>
        <v/>
      </c>
      <c r="AL23" s="20">
        <f>IF(AJ23="","",TRIM(IF(OR(C23="Major",C23="Systemic"),"major or systemic; ","")&amp;IF(AND(Y23="",S23&lt;&gt;"",TODAY()&gt;S23),"open past agreed date; ","")&amp;IF(AB23="Yes","authority or NOC linked; ","")&amp;IF(AG23="Yes","repeat of a previous NCR; ","")&amp;IF(AND(Y23="",AE23&gt;=14),"programme impact 14 days or more; ","")&amp;IF(AND(Y23="",AD23&gt;=100000),"cost impact AED 100,000 or more; ","")&amp;IF(AND(Y23&lt;&gt;"",V23=""),"closed with no verification date; ","")&amp;IF(AND(Y23&lt;&gt;"",X23=""),"closed without a closure certificate; ","")&amp;IF(AND(Y23&lt;&gt;"",Z23&gt;90),"closed more than 90 days after raising; ","")))</f>
        <v/>
      </c>
    </row>
    <row r="24">
      <c r="A24" s="10" t="n"/>
      <c r="B24" s="11" t="n"/>
      <c r="C24" s="12" t="n"/>
      <c r="D24" s="12" t="n"/>
      <c r="E24" s="12" t="n"/>
      <c r="F24" s="13" t="n"/>
      <c r="G24" s="13" t="n"/>
      <c r="H24" s="13" t="n"/>
      <c r="I24" s="13" t="n"/>
      <c r="J24" s="13" t="n"/>
      <c r="K24" s="13" t="n"/>
      <c r="L24" s="13" t="n"/>
      <c r="M24" s="11" t="n"/>
      <c r="N24" s="11" t="n"/>
      <c r="O24" s="12" t="n"/>
      <c r="P24" s="13" t="n"/>
      <c r="Q24" s="13" t="n"/>
      <c r="R24" s="13" t="n"/>
      <c r="S24" s="11" t="n"/>
      <c r="T24" s="11" t="n"/>
      <c r="U24" s="13" t="n"/>
      <c r="V24" s="11" t="n"/>
      <c r="W24" s="12" t="n"/>
      <c r="X24" s="12" t="n"/>
      <c r="Y24" s="11" t="n"/>
      <c r="Z24" s="14">
        <f>IF(A24="","",IF(Y24&lt;&gt;"",Y24-B24,TODAY()-B24))</f>
        <v/>
      </c>
      <c r="AA24" s="14">
        <f>IF(A24="","",IF(AND(Y24="",TODAY()&gt;S24),"OVERDUE",IF(AND(Y24&lt;&gt;"",Y24&gt;S24),"CLOSED LATE","")))</f>
        <v/>
      </c>
      <c r="AB24" s="12" t="n"/>
      <c r="AC24" s="13" t="n"/>
      <c r="AD24" s="21" t="n"/>
      <c r="AE24" s="12" t="n"/>
      <c r="AF24" s="14">
        <f>IF(A24="","",IF(Y24&lt;&gt;"","Closed",IF(TODAY()&gt;S24,"Overdue","Open")))</f>
        <v/>
      </c>
      <c r="AG24" s="12" t="n"/>
      <c r="AH24" s="13" t="n"/>
      <c r="AI24" s="12" t="n"/>
      <c r="AJ24" s="14">
        <f>IF(A24="","",IF(OR(C24="Major",C24="Systemic"),4,IF(C24="Minor",1,0))+IF(AND(Y24="",S24&lt;&gt;"",TODAY()&gt;S24),3,0)+IF(AB24="Yes",3,0)+IF(AG24="Yes",2,0)+IF(AND(Y24="",AE24&gt;=14),2,0)+IF(AND(Y24="",AD24&gt;=100000),2,0)+IF(AND(Y24&lt;&gt;"",V24=""),3,0)+IF(AND(Y24&lt;&gt;"",X24=""),2,0)+IF(AND(Y24&lt;&gt;"",Z24&gt;90),1,0))</f>
        <v/>
      </c>
      <c r="AK24" s="14">
        <f>IF(AJ24="","",IF(AJ24&gt;=10,"CRITICAL",IF(AJ24&gt;=6,"HIGH",IF(AJ24&gt;=3,"WATCH","LOW"))))</f>
        <v/>
      </c>
      <c r="AL24" s="20">
        <f>IF(AJ24="","",TRIM(IF(OR(C24="Major",C24="Systemic"),"major or systemic; ","")&amp;IF(AND(Y24="",S24&lt;&gt;"",TODAY()&gt;S24),"open past agreed date; ","")&amp;IF(AB24="Yes","authority or NOC linked; ","")&amp;IF(AG24="Yes","repeat of a previous NCR; ","")&amp;IF(AND(Y24="",AE24&gt;=14),"programme impact 14 days or more; ","")&amp;IF(AND(Y24="",AD24&gt;=100000),"cost impact AED 100,000 or more; ","")&amp;IF(AND(Y24&lt;&gt;"",V24=""),"closed with no verification date; ","")&amp;IF(AND(Y24&lt;&gt;"",X24=""),"closed without a closure certificate; ","")&amp;IF(AND(Y24&lt;&gt;"",Z24&gt;90),"closed more than 90 days after raising; ","")))</f>
        <v/>
      </c>
    </row>
    <row r="25">
      <c r="A25" s="10" t="n"/>
      <c r="B25" s="11" t="n"/>
      <c r="C25" s="12" t="n"/>
      <c r="D25" s="12" t="n"/>
      <c r="E25" s="12" t="n"/>
      <c r="F25" s="13" t="n"/>
      <c r="G25" s="13" t="n"/>
      <c r="H25" s="13" t="n"/>
      <c r="I25" s="13" t="n"/>
      <c r="J25" s="13" t="n"/>
      <c r="K25" s="13" t="n"/>
      <c r="L25" s="13" t="n"/>
      <c r="M25" s="11" t="n"/>
      <c r="N25" s="11" t="n"/>
      <c r="O25" s="12" t="n"/>
      <c r="P25" s="13" t="n"/>
      <c r="Q25" s="13" t="n"/>
      <c r="R25" s="13" t="n"/>
      <c r="S25" s="11" t="n"/>
      <c r="T25" s="11" t="n"/>
      <c r="U25" s="13" t="n"/>
      <c r="V25" s="11" t="n"/>
      <c r="W25" s="12" t="n"/>
      <c r="X25" s="12" t="n"/>
      <c r="Y25" s="11" t="n"/>
      <c r="Z25" s="14">
        <f>IF(A25="","",IF(Y25&lt;&gt;"",Y25-B25,TODAY()-B25))</f>
        <v/>
      </c>
      <c r="AA25" s="14">
        <f>IF(A25="","",IF(AND(Y25="",TODAY()&gt;S25),"OVERDUE",IF(AND(Y25&lt;&gt;"",Y25&gt;S25),"CLOSED LATE","")))</f>
        <v/>
      </c>
      <c r="AB25" s="12" t="n"/>
      <c r="AC25" s="13" t="n"/>
      <c r="AD25" s="21" t="n"/>
      <c r="AE25" s="12" t="n"/>
      <c r="AF25" s="14">
        <f>IF(A25="","",IF(Y25&lt;&gt;"","Closed",IF(TODAY()&gt;S25,"Overdue","Open")))</f>
        <v/>
      </c>
      <c r="AG25" s="12" t="n"/>
      <c r="AH25" s="13" t="n"/>
      <c r="AI25" s="12" t="n"/>
      <c r="AJ25" s="14">
        <f>IF(A25="","",IF(OR(C25="Major",C25="Systemic"),4,IF(C25="Minor",1,0))+IF(AND(Y25="",S25&lt;&gt;"",TODAY()&gt;S25),3,0)+IF(AB25="Yes",3,0)+IF(AG25="Yes",2,0)+IF(AND(Y25="",AE25&gt;=14),2,0)+IF(AND(Y25="",AD25&gt;=100000),2,0)+IF(AND(Y25&lt;&gt;"",V25=""),3,0)+IF(AND(Y25&lt;&gt;"",X25=""),2,0)+IF(AND(Y25&lt;&gt;"",Z25&gt;90),1,0))</f>
        <v/>
      </c>
      <c r="AK25" s="14">
        <f>IF(AJ25="","",IF(AJ25&gt;=10,"CRITICAL",IF(AJ25&gt;=6,"HIGH",IF(AJ25&gt;=3,"WATCH","LOW"))))</f>
        <v/>
      </c>
      <c r="AL25" s="20">
        <f>IF(AJ25="","",TRIM(IF(OR(C25="Major",C25="Systemic"),"major or systemic; ","")&amp;IF(AND(Y25="",S25&lt;&gt;"",TODAY()&gt;S25),"open past agreed date; ","")&amp;IF(AB25="Yes","authority or NOC linked; ","")&amp;IF(AG25="Yes","repeat of a previous NCR; ","")&amp;IF(AND(Y25="",AE25&gt;=14),"programme impact 14 days or more; ","")&amp;IF(AND(Y25="",AD25&gt;=100000),"cost impact AED 100,000 or more; ","")&amp;IF(AND(Y25&lt;&gt;"",V25=""),"closed with no verification date; ","")&amp;IF(AND(Y25&lt;&gt;"",X25=""),"closed without a closure certificate; ","")&amp;IF(AND(Y25&lt;&gt;"",Z25&gt;90),"closed more than 90 days after raising; ","")))</f>
        <v/>
      </c>
    </row>
    <row r="26">
      <c r="A26" s="10" t="n"/>
      <c r="B26" s="11" t="n"/>
      <c r="C26" s="12" t="n"/>
      <c r="D26" s="12" t="n"/>
      <c r="E26" s="12" t="n"/>
      <c r="F26" s="13" t="n"/>
      <c r="G26" s="13" t="n"/>
      <c r="H26" s="13" t="n"/>
      <c r="I26" s="13" t="n"/>
      <c r="J26" s="13" t="n"/>
      <c r="K26" s="13" t="n"/>
      <c r="L26" s="13" t="n"/>
      <c r="M26" s="11" t="n"/>
      <c r="N26" s="11" t="n"/>
      <c r="O26" s="12" t="n"/>
      <c r="P26" s="13" t="n"/>
      <c r="Q26" s="13" t="n"/>
      <c r="R26" s="13" t="n"/>
      <c r="S26" s="11" t="n"/>
      <c r="T26" s="11" t="n"/>
      <c r="U26" s="13" t="n"/>
      <c r="V26" s="11" t="n"/>
      <c r="W26" s="12" t="n"/>
      <c r="X26" s="12" t="n"/>
      <c r="Y26" s="11" t="n"/>
      <c r="Z26" s="14">
        <f>IF(A26="","",IF(Y26&lt;&gt;"",Y26-B26,TODAY()-B26))</f>
        <v/>
      </c>
      <c r="AA26" s="14">
        <f>IF(A26="","",IF(AND(Y26="",TODAY()&gt;S26),"OVERDUE",IF(AND(Y26&lt;&gt;"",Y26&gt;S26),"CLOSED LATE","")))</f>
        <v/>
      </c>
      <c r="AB26" s="12" t="n"/>
      <c r="AC26" s="13" t="n"/>
      <c r="AD26" s="21" t="n"/>
      <c r="AE26" s="12" t="n"/>
      <c r="AF26" s="14">
        <f>IF(A26="","",IF(Y26&lt;&gt;"","Closed",IF(TODAY()&gt;S26,"Overdue","Open")))</f>
        <v/>
      </c>
      <c r="AG26" s="12" t="n"/>
      <c r="AH26" s="13" t="n"/>
      <c r="AI26" s="12" t="n"/>
      <c r="AJ26" s="14">
        <f>IF(A26="","",IF(OR(C26="Major",C26="Systemic"),4,IF(C26="Minor",1,0))+IF(AND(Y26="",S26&lt;&gt;"",TODAY()&gt;S26),3,0)+IF(AB26="Yes",3,0)+IF(AG26="Yes",2,0)+IF(AND(Y26="",AE26&gt;=14),2,0)+IF(AND(Y26="",AD26&gt;=100000),2,0)+IF(AND(Y26&lt;&gt;"",V26=""),3,0)+IF(AND(Y26&lt;&gt;"",X26=""),2,0)+IF(AND(Y26&lt;&gt;"",Z26&gt;90),1,0))</f>
        <v/>
      </c>
      <c r="AK26" s="14">
        <f>IF(AJ26="","",IF(AJ26&gt;=10,"CRITICAL",IF(AJ26&gt;=6,"HIGH",IF(AJ26&gt;=3,"WATCH","LOW"))))</f>
        <v/>
      </c>
      <c r="AL26" s="20">
        <f>IF(AJ26="","",TRIM(IF(OR(C26="Major",C26="Systemic"),"major or systemic; ","")&amp;IF(AND(Y26="",S26&lt;&gt;"",TODAY()&gt;S26),"open past agreed date; ","")&amp;IF(AB26="Yes","authority or NOC linked; ","")&amp;IF(AG26="Yes","repeat of a previous NCR; ","")&amp;IF(AND(Y26="",AE26&gt;=14),"programme impact 14 days or more; ","")&amp;IF(AND(Y26="",AD26&gt;=100000),"cost impact AED 100,000 or more; ","")&amp;IF(AND(Y26&lt;&gt;"",V26=""),"closed with no verification date; ","")&amp;IF(AND(Y26&lt;&gt;"",X26=""),"closed without a closure certificate; ","")&amp;IF(AND(Y26&lt;&gt;"",Z26&gt;90),"closed more than 90 days after raising; ","")))</f>
        <v/>
      </c>
    </row>
    <row r="27">
      <c r="A27" s="10" t="n"/>
      <c r="B27" s="11" t="n"/>
      <c r="C27" s="12" t="n"/>
      <c r="D27" s="12" t="n"/>
      <c r="E27" s="12" t="n"/>
      <c r="F27" s="13" t="n"/>
      <c r="G27" s="13" t="n"/>
      <c r="H27" s="13" t="n"/>
      <c r="I27" s="13" t="n"/>
      <c r="J27" s="13" t="n"/>
      <c r="K27" s="13" t="n"/>
      <c r="L27" s="13" t="n"/>
      <c r="M27" s="11" t="n"/>
      <c r="N27" s="11" t="n"/>
      <c r="O27" s="12" t="n"/>
      <c r="P27" s="13" t="n"/>
      <c r="Q27" s="13" t="n"/>
      <c r="R27" s="13" t="n"/>
      <c r="S27" s="11" t="n"/>
      <c r="T27" s="11" t="n"/>
      <c r="U27" s="13" t="n"/>
      <c r="V27" s="11" t="n"/>
      <c r="W27" s="12" t="n"/>
      <c r="X27" s="12" t="n"/>
      <c r="Y27" s="11" t="n"/>
      <c r="Z27" s="14">
        <f>IF(A27="","",IF(Y27&lt;&gt;"",Y27-B27,TODAY()-B27))</f>
        <v/>
      </c>
      <c r="AA27" s="14">
        <f>IF(A27="","",IF(AND(Y27="",TODAY()&gt;S27),"OVERDUE",IF(AND(Y27&lt;&gt;"",Y27&gt;S27),"CLOSED LATE","")))</f>
        <v/>
      </c>
      <c r="AB27" s="12" t="n"/>
      <c r="AC27" s="13" t="n"/>
      <c r="AD27" s="21" t="n"/>
      <c r="AE27" s="12" t="n"/>
      <c r="AF27" s="14">
        <f>IF(A27="","",IF(Y27&lt;&gt;"","Closed",IF(TODAY()&gt;S27,"Overdue","Open")))</f>
        <v/>
      </c>
      <c r="AG27" s="12" t="n"/>
      <c r="AH27" s="13" t="n"/>
      <c r="AI27" s="12" t="n"/>
      <c r="AJ27" s="14">
        <f>IF(A27="","",IF(OR(C27="Major",C27="Systemic"),4,IF(C27="Minor",1,0))+IF(AND(Y27="",S27&lt;&gt;"",TODAY()&gt;S27),3,0)+IF(AB27="Yes",3,0)+IF(AG27="Yes",2,0)+IF(AND(Y27="",AE27&gt;=14),2,0)+IF(AND(Y27="",AD27&gt;=100000),2,0)+IF(AND(Y27&lt;&gt;"",V27=""),3,0)+IF(AND(Y27&lt;&gt;"",X27=""),2,0)+IF(AND(Y27&lt;&gt;"",Z27&gt;90),1,0))</f>
        <v/>
      </c>
      <c r="AK27" s="14">
        <f>IF(AJ27="","",IF(AJ27&gt;=10,"CRITICAL",IF(AJ27&gt;=6,"HIGH",IF(AJ27&gt;=3,"WATCH","LOW"))))</f>
        <v/>
      </c>
      <c r="AL27" s="20">
        <f>IF(AJ27="","",TRIM(IF(OR(C27="Major",C27="Systemic"),"major or systemic; ","")&amp;IF(AND(Y27="",S27&lt;&gt;"",TODAY()&gt;S27),"open past agreed date; ","")&amp;IF(AB27="Yes","authority or NOC linked; ","")&amp;IF(AG27="Yes","repeat of a previous NCR; ","")&amp;IF(AND(Y27="",AE27&gt;=14),"programme impact 14 days or more; ","")&amp;IF(AND(Y27="",AD27&gt;=100000),"cost impact AED 100,000 or more; ","")&amp;IF(AND(Y27&lt;&gt;"",V27=""),"closed with no verification date; ","")&amp;IF(AND(Y27&lt;&gt;"",X27=""),"closed without a closure certificate; ","")&amp;IF(AND(Y27&lt;&gt;"",Z27&gt;90),"closed more than 90 days after raising; ","")))</f>
        <v/>
      </c>
    </row>
    <row r="28">
      <c r="A28" s="10" t="n"/>
      <c r="B28" s="11" t="n"/>
      <c r="C28" s="12" t="n"/>
      <c r="D28" s="12" t="n"/>
      <c r="E28" s="12" t="n"/>
      <c r="F28" s="13" t="n"/>
      <c r="G28" s="13" t="n"/>
      <c r="H28" s="13" t="n"/>
      <c r="I28" s="13" t="n"/>
      <c r="J28" s="13" t="n"/>
      <c r="K28" s="13" t="n"/>
      <c r="L28" s="13" t="n"/>
      <c r="M28" s="11" t="n"/>
      <c r="N28" s="11" t="n"/>
      <c r="O28" s="12" t="n"/>
      <c r="P28" s="13" t="n"/>
      <c r="Q28" s="13" t="n"/>
      <c r="R28" s="13" t="n"/>
      <c r="S28" s="11" t="n"/>
      <c r="T28" s="11" t="n"/>
      <c r="U28" s="13" t="n"/>
      <c r="V28" s="11" t="n"/>
      <c r="W28" s="12" t="n"/>
      <c r="X28" s="12" t="n"/>
      <c r="Y28" s="11" t="n"/>
      <c r="Z28" s="14">
        <f>IF(A28="","",IF(Y28&lt;&gt;"",Y28-B28,TODAY()-B28))</f>
        <v/>
      </c>
      <c r="AA28" s="14">
        <f>IF(A28="","",IF(AND(Y28="",TODAY()&gt;S28),"OVERDUE",IF(AND(Y28&lt;&gt;"",Y28&gt;S28),"CLOSED LATE","")))</f>
        <v/>
      </c>
      <c r="AB28" s="12" t="n"/>
      <c r="AC28" s="13" t="n"/>
      <c r="AD28" s="21" t="n"/>
      <c r="AE28" s="12" t="n"/>
      <c r="AF28" s="14">
        <f>IF(A28="","",IF(Y28&lt;&gt;"","Closed",IF(TODAY()&gt;S28,"Overdue","Open")))</f>
        <v/>
      </c>
      <c r="AG28" s="12" t="n"/>
      <c r="AH28" s="13" t="n"/>
      <c r="AI28" s="12" t="n"/>
      <c r="AJ28" s="14">
        <f>IF(A28="","",IF(OR(C28="Major",C28="Systemic"),4,IF(C28="Minor",1,0))+IF(AND(Y28="",S28&lt;&gt;"",TODAY()&gt;S28),3,0)+IF(AB28="Yes",3,0)+IF(AG28="Yes",2,0)+IF(AND(Y28="",AE28&gt;=14),2,0)+IF(AND(Y28="",AD28&gt;=100000),2,0)+IF(AND(Y28&lt;&gt;"",V28=""),3,0)+IF(AND(Y28&lt;&gt;"",X28=""),2,0)+IF(AND(Y28&lt;&gt;"",Z28&gt;90),1,0))</f>
        <v/>
      </c>
      <c r="AK28" s="14">
        <f>IF(AJ28="","",IF(AJ28&gt;=10,"CRITICAL",IF(AJ28&gt;=6,"HIGH",IF(AJ28&gt;=3,"WATCH","LOW"))))</f>
        <v/>
      </c>
      <c r="AL28" s="20">
        <f>IF(AJ28="","",TRIM(IF(OR(C28="Major",C28="Systemic"),"major or systemic; ","")&amp;IF(AND(Y28="",S28&lt;&gt;"",TODAY()&gt;S28),"open past agreed date; ","")&amp;IF(AB28="Yes","authority or NOC linked; ","")&amp;IF(AG28="Yes","repeat of a previous NCR; ","")&amp;IF(AND(Y28="",AE28&gt;=14),"programme impact 14 days or more; ","")&amp;IF(AND(Y28="",AD28&gt;=100000),"cost impact AED 100,000 or more; ","")&amp;IF(AND(Y28&lt;&gt;"",V28=""),"closed with no verification date; ","")&amp;IF(AND(Y28&lt;&gt;"",X28=""),"closed without a closure certificate; ","")&amp;IF(AND(Y28&lt;&gt;"",Z28&gt;90),"closed more than 90 days after raising; ","")))</f>
        <v/>
      </c>
    </row>
    <row r="29">
      <c r="A29" s="10" t="n"/>
      <c r="B29" s="11" t="n"/>
      <c r="C29" s="12" t="n"/>
      <c r="D29" s="12" t="n"/>
      <c r="E29" s="12" t="n"/>
      <c r="F29" s="13" t="n"/>
      <c r="G29" s="13" t="n"/>
      <c r="H29" s="13" t="n"/>
      <c r="I29" s="13" t="n"/>
      <c r="J29" s="13" t="n"/>
      <c r="K29" s="13" t="n"/>
      <c r="L29" s="13" t="n"/>
      <c r="M29" s="11" t="n"/>
      <c r="N29" s="11" t="n"/>
      <c r="O29" s="12" t="n"/>
      <c r="P29" s="13" t="n"/>
      <c r="Q29" s="13" t="n"/>
      <c r="R29" s="13" t="n"/>
      <c r="S29" s="11" t="n"/>
      <c r="T29" s="11" t="n"/>
      <c r="U29" s="13" t="n"/>
      <c r="V29" s="11" t="n"/>
      <c r="W29" s="12" t="n"/>
      <c r="X29" s="12" t="n"/>
      <c r="Y29" s="11" t="n"/>
      <c r="Z29" s="14">
        <f>IF(A29="","",IF(Y29&lt;&gt;"",Y29-B29,TODAY()-B29))</f>
        <v/>
      </c>
      <c r="AA29" s="14">
        <f>IF(A29="","",IF(AND(Y29="",TODAY()&gt;S29),"OVERDUE",IF(AND(Y29&lt;&gt;"",Y29&gt;S29),"CLOSED LATE","")))</f>
        <v/>
      </c>
      <c r="AB29" s="12" t="n"/>
      <c r="AC29" s="13" t="n"/>
      <c r="AD29" s="21" t="n"/>
      <c r="AE29" s="12" t="n"/>
      <c r="AF29" s="14">
        <f>IF(A29="","",IF(Y29&lt;&gt;"","Closed",IF(TODAY()&gt;S29,"Overdue","Open")))</f>
        <v/>
      </c>
      <c r="AG29" s="12" t="n"/>
      <c r="AH29" s="13" t="n"/>
      <c r="AI29" s="12" t="n"/>
      <c r="AJ29" s="14">
        <f>IF(A29="","",IF(OR(C29="Major",C29="Systemic"),4,IF(C29="Minor",1,0))+IF(AND(Y29="",S29&lt;&gt;"",TODAY()&gt;S29),3,0)+IF(AB29="Yes",3,0)+IF(AG29="Yes",2,0)+IF(AND(Y29="",AE29&gt;=14),2,0)+IF(AND(Y29="",AD29&gt;=100000),2,0)+IF(AND(Y29&lt;&gt;"",V29=""),3,0)+IF(AND(Y29&lt;&gt;"",X29=""),2,0)+IF(AND(Y29&lt;&gt;"",Z29&gt;90),1,0))</f>
        <v/>
      </c>
      <c r="AK29" s="14">
        <f>IF(AJ29="","",IF(AJ29&gt;=10,"CRITICAL",IF(AJ29&gt;=6,"HIGH",IF(AJ29&gt;=3,"WATCH","LOW"))))</f>
        <v/>
      </c>
      <c r="AL29" s="20">
        <f>IF(AJ29="","",TRIM(IF(OR(C29="Major",C29="Systemic"),"major or systemic; ","")&amp;IF(AND(Y29="",S29&lt;&gt;"",TODAY()&gt;S29),"open past agreed date; ","")&amp;IF(AB29="Yes","authority or NOC linked; ","")&amp;IF(AG29="Yes","repeat of a previous NCR; ","")&amp;IF(AND(Y29="",AE29&gt;=14),"programme impact 14 days or more; ","")&amp;IF(AND(Y29="",AD29&gt;=100000),"cost impact AED 100,000 or more; ","")&amp;IF(AND(Y29&lt;&gt;"",V29=""),"closed with no verification date; ","")&amp;IF(AND(Y29&lt;&gt;"",X29=""),"closed without a closure certificate; ","")&amp;IF(AND(Y29&lt;&gt;"",Z29&gt;90),"closed more than 90 days after raising; ","")))</f>
        <v/>
      </c>
    </row>
    <row r="30">
      <c r="A30" s="10" t="n"/>
      <c r="B30" s="11" t="n"/>
      <c r="C30" s="12" t="n"/>
      <c r="D30" s="12" t="n"/>
      <c r="E30" s="12" t="n"/>
      <c r="F30" s="13" t="n"/>
      <c r="G30" s="13" t="n"/>
      <c r="H30" s="13" t="n"/>
      <c r="I30" s="13" t="n"/>
      <c r="J30" s="13" t="n"/>
      <c r="K30" s="13" t="n"/>
      <c r="L30" s="13" t="n"/>
      <c r="M30" s="11" t="n"/>
      <c r="N30" s="11" t="n"/>
      <c r="O30" s="12" t="n"/>
      <c r="P30" s="13" t="n"/>
      <c r="Q30" s="13" t="n"/>
      <c r="R30" s="13" t="n"/>
      <c r="S30" s="11" t="n"/>
      <c r="T30" s="11" t="n"/>
      <c r="U30" s="13" t="n"/>
      <c r="V30" s="11" t="n"/>
      <c r="W30" s="12" t="n"/>
      <c r="X30" s="12" t="n"/>
      <c r="Y30" s="11" t="n"/>
      <c r="Z30" s="14">
        <f>IF(A30="","",IF(Y30&lt;&gt;"",Y30-B30,TODAY()-B30))</f>
        <v/>
      </c>
      <c r="AA30" s="14">
        <f>IF(A30="","",IF(AND(Y30="",TODAY()&gt;S30),"OVERDUE",IF(AND(Y30&lt;&gt;"",Y30&gt;S30),"CLOSED LATE","")))</f>
        <v/>
      </c>
      <c r="AB30" s="12" t="n"/>
      <c r="AC30" s="13" t="n"/>
      <c r="AD30" s="21" t="n"/>
      <c r="AE30" s="12" t="n"/>
      <c r="AF30" s="14">
        <f>IF(A30="","",IF(Y30&lt;&gt;"","Closed",IF(TODAY()&gt;S30,"Overdue","Open")))</f>
        <v/>
      </c>
      <c r="AG30" s="12" t="n"/>
      <c r="AH30" s="13" t="n"/>
      <c r="AI30" s="12" t="n"/>
      <c r="AJ30" s="14">
        <f>IF(A30="","",IF(OR(C30="Major",C30="Systemic"),4,IF(C30="Minor",1,0))+IF(AND(Y30="",S30&lt;&gt;"",TODAY()&gt;S30),3,0)+IF(AB30="Yes",3,0)+IF(AG30="Yes",2,0)+IF(AND(Y30="",AE30&gt;=14),2,0)+IF(AND(Y30="",AD30&gt;=100000),2,0)+IF(AND(Y30&lt;&gt;"",V30=""),3,0)+IF(AND(Y30&lt;&gt;"",X30=""),2,0)+IF(AND(Y30&lt;&gt;"",Z30&gt;90),1,0))</f>
        <v/>
      </c>
      <c r="AK30" s="14">
        <f>IF(AJ30="","",IF(AJ30&gt;=10,"CRITICAL",IF(AJ30&gt;=6,"HIGH",IF(AJ30&gt;=3,"WATCH","LOW"))))</f>
        <v/>
      </c>
      <c r="AL30" s="20">
        <f>IF(AJ30="","",TRIM(IF(OR(C30="Major",C30="Systemic"),"major or systemic; ","")&amp;IF(AND(Y30="",S30&lt;&gt;"",TODAY()&gt;S30),"open past agreed date; ","")&amp;IF(AB30="Yes","authority or NOC linked; ","")&amp;IF(AG30="Yes","repeat of a previous NCR; ","")&amp;IF(AND(Y30="",AE30&gt;=14),"programme impact 14 days or more; ","")&amp;IF(AND(Y30="",AD30&gt;=100000),"cost impact AED 100,000 or more; ","")&amp;IF(AND(Y30&lt;&gt;"",V30=""),"closed with no verification date; ","")&amp;IF(AND(Y30&lt;&gt;"",X30=""),"closed without a closure certificate; ","")&amp;IF(AND(Y30&lt;&gt;"",Z30&gt;90),"closed more than 90 days after raising; ","")))</f>
        <v/>
      </c>
    </row>
    <row r="31">
      <c r="A31" s="10" t="n"/>
      <c r="B31" s="11" t="n"/>
      <c r="C31" s="12" t="n"/>
      <c r="D31" s="12" t="n"/>
      <c r="E31" s="12" t="n"/>
      <c r="F31" s="13" t="n"/>
      <c r="G31" s="13" t="n"/>
      <c r="H31" s="13" t="n"/>
      <c r="I31" s="13" t="n"/>
      <c r="J31" s="13" t="n"/>
      <c r="K31" s="13" t="n"/>
      <c r="L31" s="13" t="n"/>
      <c r="M31" s="11" t="n"/>
      <c r="N31" s="11" t="n"/>
      <c r="O31" s="12" t="n"/>
      <c r="P31" s="13" t="n"/>
      <c r="Q31" s="13" t="n"/>
      <c r="R31" s="13" t="n"/>
      <c r="S31" s="11" t="n"/>
      <c r="T31" s="11" t="n"/>
      <c r="U31" s="13" t="n"/>
      <c r="V31" s="11" t="n"/>
      <c r="W31" s="12" t="n"/>
      <c r="X31" s="12" t="n"/>
      <c r="Y31" s="11" t="n"/>
      <c r="Z31" s="14">
        <f>IF(A31="","",IF(Y31&lt;&gt;"",Y31-B31,TODAY()-B31))</f>
        <v/>
      </c>
      <c r="AA31" s="14">
        <f>IF(A31="","",IF(AND(Y31="",TODAY()&gt;S31),"OVERDUE",IF(AND(Y31&lt;&gt;"",Y31&gt;S31),"CLOSED LATE","")))</f>
        <v/>
      </c>
      <c r="AB31" s="12" t="n"/>
      <c r="AC31" s="13" t="n"/>
      <c r="AD31" s="21" t="n"/>
      <c r="AE31" s="12" t="n"/>
      <c r="AF31" s="14">
        <f>IF(A31="","",IF(Y31&lt;&gt;"","Closed",IF(TODAY()&gt;S31,"Overdue","Open")))</f>
        <v/>
      </c>
      <c r="AG31" s="12" t="n"/>
      <c r="AH31" s="13" t="n"/>
      <c r="AI31" s="12" t="n"/>
      <c r="AJ31" s="14">
        <f>IF(A31="","",IF(OR(C31="Major",C31="Systemic"),4,IF(C31="Minor",1,0))+IF(AND(Y31="",S31&lt;&gt;"",TODAY()&gt;S31),3,0)+IF(AB31="Yes",3,0)+IF(AG31="Yes",2,0)+IF(AND(Y31="",AE31&gt;=14),2,0)+IF(AND(Y31="",AD31&gt;=100000),2,0)+IF(AND(Y31&lt;&gt;"",V31=""),3,0)+IF(AND(Y31&lt;&gt;"",X31=""),2,0)+IF(AND(Y31&lt;&gt;"",Z31&gt;90),1,0))</f>
        <v/>
      </c>
      <c r="AK31" s="14">
        <f>IF(AJ31="","",IF(AJ31&gt;=10,"CRITICAL",IF(AJ31&gt;=6,"HIGH",IF(AJ31&gt;=3,"WATCH","LOW"))))</f>
        <v/>
      </c>
      <c r="AL31" s="20">
        <f>IF(AJ31="","",TRIM(IF(OR(C31="Major",C31="Systemic"),"major or systemic; ","")&amp;IF(AND(Y31="",S31&lt;&gt;"",TODAY()&gt;S31),"open past agreed date; ","")&amp;IF(AB31="Yes","authority or NOC linked; ","")&amp;IF(AG31="Yes","repeat of a previous NCR; ","")&amp;IF(AND(Y31="",AE31&gt;=14),"programme impact 14 days or more; ","")&amp;IF(AND(Y31="",AD31&gt;=100000),"cost impact AED 100,000 or more; ","")&amp;IF(AND(Y31&lt;&gt;"",V31=""),"closed with no verification date; ","")&amp;IF(AND(Y31&lt;&gt;"",X31=""),"closed without a closure certificate; ","")&amp;IF(AND(Y31&lt;&gt;"",Z31&gt;90),"closed more than 90 days after raising; ","")))</f>
        <v/>
      </c>
    </row>
    <row r="32">
      <c r="A32" s="10" t="n"/>
      <c r="B32" s="11" t="n"/>
      <c r="C32" s="12" t="n"/>
      <c r="D32" s="12" t="n"/>
      <c r="E32" s="12" t="n"/>
      <c r="F32" s="13" t="n"/>
      <c r="G32" s="13" t="n"/>
      <c r="H32" s="13" t="n"/>
      <c r="I32" s="13" t="n"/>
      <c r="J32" s="13" t="n"/>
      <c r="K32" s="13" t="n"/>
      <c r="L32" s="13" t="n"/>
      <c r="M32" s="11" t="n"/>
      <c r="N32" s="11" t="n"/>
      <c r="O32" s="12" t="n"/>
      <c r="P32" s="13" t="n"/>
      <c r="Q32" s="13" t="n"/>
      <c r="R32" s="13" t="n"/>
      <c r="S32" s="11" t="n"/>
      <c r="T32" s="11" t="n"/>
      <c r="U32" s="13" t="n"/>
      <c r="V32" s="11" t="n"/>
      <c r="W32" s="12" t="n"/>
      <c r="X32" s="12" t="n"/>
      <c r="Y32" s="11" t="n"/>
      <c r="Z32" s="14">
        <f>IF(A32="","",IF(Y32&lt;&gt;"",Y32-B32,TODAY()-B32))</f>
        <v/>
      </c>
      <c r="AA32" s="14">
        <f>IF(A32="","",IF(AND(Y32="",TODAY()&gt;S32),"OVERDUE",IF(AND(Y32&lt;&gt;"",Y32&gt;S32),"CLOSED LATE","")))</f>
        <v/>
      </c>
      <c r="AB32" s="12" t="n"/>
      <c r="AC32" s="13" t="n"/>
      <c r="AD32" s="21" t="n"/>
      <c r="AE32" s="12" t="n"/>
      <c r="AF32" s="14">
        <f>IF(A32="","",IF(Y32&lt;&gt;"","Closed",IF(TODAY()&gt;S32,"Overdue","Open")))</f>
        <v/>
      </c>
      <c r="AG32" s="12" t="n"/>
      <c r="AH32" s="13" t="n"/>
      <c r="AI32" s="12" t="n"/>
      <c r="AJ32" s="14">
        <f>IF(A32="","",IF(OR(C32="Major",C32="Systemic"),4,IF(C32="Minor",1,0))+IF(AND(Y32="",S32&lt;&gt;"",TODAY()&gt;S32),3,0)+IF(AB32="Yes",3,0)+IF(AG32="Yes",2,0)+IF(AND(Y32="",AE32&gt;=14),2,0)+IF(AND(Y32="",AD32&gt;=100000),2,0)+IF(AND(Y32&lt;&gt;"",V32=""),3,0)+IF(AND(Y32&lt;&gt;"",X32=""),2,0)+IF(AND(Y32&lt;&gt;"",Z32&gt;90),1,0))</f>
        <v/>
      </c>
      <c r="AK32" s="14">
        <f>IF(AJ32="","",IF(AJ32&gt;=10,"CRITICAL",IF(AJ32&gt;=6,"HIGH",IF(AJ32&gt;=3,"WATCH","LOW"))))</f>
        <v/>
      </c>
      <c r="AL32" s="20">
        <f>IF(AJ32="","",TRIM(IF(OR(C32="Major",C32="Systemic"),"major or systemic; ","")&amp;IF(AND(Y32="",S32&lt;&gt;"",TODAY()&gt;S32),"open past agreed date; ","")&amp;IF(AB32="Yes","authority or NOC linked; ","")&amp;IF(AG32="Yes","repeat of a previous NCR; ","")&amp;IF(AND(Y32="",AE32&gt;=14),"programme impact 14 days or more; ","")&amp;IF(AND(Y32="",AD32&gt;=100000),"cost impact AED 100,000 or more; ","")&amp;IF(AND(Y32&lt;&gt;"",V32=""),"closed with no verification date; ","")&amp;IF(AND(Y32&lt;&gt;"",X32=""),"closed without a closure certificate; ","")&amp;IF(AND(Y32&lt;&gt;"",Z32&gt;90),"closed more than 90 days after raising; ","")))</f>
        <v/>
      </c>
    </row>
    <row r="33">
      <c r="A33" s="10" t="n"/>
      <c r="B33" s="11" t="n"/>
      <c r="C33" s="12" t="n"/>
      <c r="D33" s="12" t="n"/>
      <c r="E33" s="12" t="n"/>
      <c r="F33" s="13" t="n"/>
      <c r="G33" s="13" t="n"/>
      <c r="H33" s="13" t="n"/>
      <c r="I33" s="13" t="n"/>
      <c r="J33" s="13" t="n"/>
      <c r="K33" s="13" t="n"/>
      <c r="L33" s="13" t="n"/>
      <c r="M33" s="11" t="n"/>
      <c r="N33" s="11" t="n"/>
      <c r="O33" s="12" t="n"/>
      <c r="P33" s="13" t="n"/>
      <c r="Q33" s="13" t="n"/>
      <c r="R33" s="13" t="n"/>
      <c r="S33" s="11" t="n"/>
      <c r="T33" s="11" t="n"/>
      <c r="U33" s="13" t="n"/>
      <c r="V33" s="11" t="n"/>
      <c r="W33" s="12" t="n"/>
      <c r="X33" s="12" t="n"/>
      <c r="Y33" s="11" t="n"/>
      <c r="Z33" s="14">
        <f>IF(A33="","",IF(Y33&lt;&gt;"",Y33-B33,TODAY()-B33))</f>
        <v/>
      </c>
      <c r="AA33" s="14">
        <f>IF(A33="","",IF(AND(Y33="",TODAY()&gt;S33),"OVERDUE",IF(AND(Y33&lt;&gt;"",Y33&gt;S33),"CLOSED LATE","")))</f>
        <v/>
      </c>
      <c r="AB33" s="12" t="n"/>
      <c r="AC33" s="13" t="n"/>
      <c r="AD33" s="21" t="n"/>
      <c r="AE33" s="12" t="n"/>
      <c r="AF33" s="14">
        <f>IF(A33="","",IF(Y33&lt;&gt;"","Closed",IF(TODAY()&gt;S33,"Overdue","Open")))</f>
        <v/>
      </c>
      <c r="AG33" s="12" t="n"/>
      <c r="AH33" s="13" t="n"/>
      <c r="AI33" s="12" t="n"/>
      <c r="AJ33" s="14">
        <f>IF(A33="","",IF(OR(C33="Major",C33="Systemic"),4,IF(C33="Minor",1,0))+IF(AND(Y33="",S33&lt;&gt;"",TODAY()&gt;S33),3,0)+IF(AB33="Yes",3,0)+IF(AG33="Yes",2,0)+IF(AND(Y33="",AE33&gt;=14),2,0)+IF(AND(Y33="",AD33&gt;=100000),2,0)+IF(AND(Y33&lt;&gt;"",V33=""),3,0)+IF(AND(Y33&lt;&gt;"",X33=""),2,0)+IF(AND(Y33&lt;&gt;"",Z33&gt;90),1,0))</f>
        <v/>
      </c>
      <c r="AK33" s="14">
        <f>IF(AJ33="","",IF(AJ33&gt;=10,"CRITICAL",IF(AJ33&gt;=6,"HIGH",IF(AJ33&gt;=3,"WATCH","LOW"))))</f>
        <v/>
      </c>
      <c r="AL33" s="20">
        <f>IF(AJ33="","",TRIM(IF(OR(C33="Major",C33="Systemic"),"major or systemic; ","")&amp;IF(AND(Y33="",S33&lt;&gt;"",TODAY()&gt;S33),"open past agreed date; ","")&amp;IF(AB33="Yes","authority or NOC linked; ","")&amp;IF(AG33="Yes","repeat of a previous NCR; ","")&amp;IF(AND(Y33="",AE33&gt;=14),"programme impact 14 days or more; ","")&amp;IF(AND(Y33="",AD33&gt;=100000),"cost impact AED 100,000 or more; ","")&amp;IF(AND(Y33&lt;&gt;"",V33=""),"closed with no verification date; ","")&amp;IF(AND(Y33&lt;&gt;"",X33=""),"closed without a closure certificate; ","")&amp;IF(AND(Y33&lt;&gt;"",Z33&gt;90),"closed more than 90 days after raising; ","")))</f>
        <v/>
      </c>
    </row>
    <row r="34">
      <c r="A34" s="10" t="n"/>
      <c r="B34" s="11" t="n"/>
      <c r="C34" s="12" t="n"/>
      <c r="D34" s="12" t="n"/>
      <c r="E34" s="12" t="n"/>
      <c r="F34" s="13" t="n"/>
      <c r="G34" s="13" t="n"/>
      <c r="H34" s="13" t="n"/>
      <c r="I34" s="13" t="n"/>
      <c r="J34" s="13" t="n"/>
      <c r="K34" s="13" t="n"/>
      <c r="L34" s="13" t="n"/>
      <c r="M34" s="11" t="n"/>
      <c r="N34" s="11" t="n"/>
      <c r="O34" s="12" t="n"/>
      <c r="P34" s="13" t="n"/>
      <c r="Q34" s="13" t="n"/>
      <c r="R34" s="13" t="n"/>
      <c r="S34" s="11" t="n"/>
      <c r="T34" s="11" t="n"/>
      <c r="U34" s="13" t="n"/>
      <c r="V34" s="11" t="n"/>
      <c r="W34" s="12" t="n"/>
      <c r="X34" s="12" t="n"/>
      <c r="Y34" s="11" t="n"/>
      <c r="Z34" s="14">
        <f>IF(A34="","",IF(Y34&lt;&gt;"",Y34-B34,TODAY()-B34))</f>
        <v/>
      </c>
      <c r="AA34" s="14">
        <f>IF(A34="","",IF(AND(Y34="",TODAY()&gt;S34),"OVERDUE",IF(AND(Y34&lt;&gt;"",Y34&gt;S34),"CLOSED LATE","")))</f>
        <v/>
      </c>
      <c r="AB34" s="12" t="n"/>
      <c r="AC34" s="13" t="n"/>
      <c r="AD34" s="21" t="n"/>
      <c r="AE34" s="12" t="n"/>
      <c r="AF34" s="14">
        <f>IF(A34="","",IF(Y34&lt;&gt;"","Closed",IF(TODAY()&gt;S34,"Overdue","Open")))</f>
        <v/>
      </c>
      <c r="AG34" s="12" t="n"/>
      <c r="AH34" s="13" t="n"/>
      <c r="AI34" s="12" t="n"/>
      <c r="AJ34" s="14">
        <f>IF(A34="","",IF(OR(C34="Major",C34="Systemic"),4,IF(C34="Minor",1,0))+IF(AND(Y34="",S34&lt;&gt;"",TODAY()&gt;S34),3,0)+IF(AB34="Yes",3,0)+IF(AG34="Yes",2,0)+IF(AND(Y34="",AE34&gt;=14),2,0)+IF(AND(Y34="",AD34&gt;=100000),2,0)+IF(AND(Y34&lt;&gt;"",V34=""),3,0)+IF(AND(Y34&lt;&gt;"",X34=""),2,0)+IF(AND(Y34&lt;&gt;"",Z34&gt;90),1,0))</f>
        <v/>
      </c>
      <c r="AK34" s="14">
        <f>IF(AJ34="","",IF(AJ34&gt;=10,"CRITICAL",IF(AJ34&gt;=6,"HIGH",IF(AJ34&gt;=3,"WATCH","LOW"))))</f>
        <v/>
      </c>
      <c r="AL34" s="20">
        <f>IF(AJ34="","",TRIM(IF(OR(C34="Major",C34="Systemic"),"major or systemic; ","")&amp;IF(AND(Y34="",S34&lt;&gt;"",TODAY()&gt;S34),"open past agreed date; ","")&amp;IF(AB34="Yes","authority or NOC linked; ","")&amp;IF(AG34="Yes","repeat of a previous NCR; ","")&amp;IF(AND(Y34="",AE34&gt;=14),"programme impact 14 days or more; ","")&amp;IF(AND(Y34="",AD34&gt;=100000),"cost impact AED 100,000 or more; ","")&amp;IF(AND(Y34&lt;&gt;"",V34=""),"closed with no verification date; ","")&amp;IF(AND(Y34&lt;&gt;"",X34=""),"closed without a closure certificate; ","")&amp;IF(AND(Y34&lt;&gt;"",Z34&gt;90),"closed more than 90 days after raising; ","")))</f>
        <v/>
      </c>
    </row>
    <row r="35">
      <c r="A35" s="10" t="n"/>
      <c r="B35" s="11" t="n"/>
      <c r="C35" s="12" t="n"/>
      <c r="D35" s="12" t="n"/>
      <c r="E35" s="12" t="n"/>
      <c r="F35" s="13" t="n"/>
      <c r="G35" s="13" t="n"/>
      <c r="H35" s="13" t="n"/>
      <c r="I35" s="13" t="n"/>
      <c r="J35" s="13" t="n"/>
      <c r="K35" s="13" t="n"/>
      <c r="L35" s="13" t="n"/>
      <c r="M35" s="11" t="n"/>
      <c r="N35" s="11" t="n"/>
      <c r="O35" s="12" t="n"/>
      <c r="P35" s="13" t="n"/>
      <c r="Q35" s="13" t="n"/>
      <c r="R35" s="13" t="n"/>
      <c r="S35" s="11" t="n"/>
      <c r="T35" s="11" t="n"/>
      <c r="U35" s="13" t="n"/>
      <c r="V35" s="11" t="n"/>
      <c r="W35" s="12" t="n"/>
      <c r="X35" s="12" t="n"/>
      <c r="Y35" s="11" t="n"/>
      <c r="Z35" s="14">
        <f>IF(A35="","",IF(Y35&lt;&gt;"",Y35-B35,TODAY()-B35))</f>
        <v/>
      </c>
      <c r="AA35" s="14">
        <f>IF(A35="","",IF(AND(Y35="",TODAY()&gt;S35),"OVERDUE",IF(AND(Y35&lt;&gt;"",Y35&gt;S35),"CLOSED LATE","")))</f>
        <v/>
      </c>
      <c r="AB35" s="12" t="n"/>
      <c r="AC35" s="13" t="n"/>
      <c r="AD35" s="21" t="n"/>
      <c r="AE35" s="12" t="n"/>
      <c r="AF35" s="14">
        <f>IF(A35="","",IF(Y35&lt;&gt;"","Closed",IF(TODAY()&gt;S35,"Overdue","Open")))</f>
        <v/>
      </c>
      <c r="AG35" s="12" t="n"/>
      <c r="AH35" s="13" t="n"/>
      <c r="AI35" s="12" t="n"/>
      <c r="AJ35" s="14">
        <f>IF(A35="","",IF(OR(C35="Major",C35="Systemic"),4,IF(C35="Minor",1,0))+IF(AND(Y35="",S35&lt;&gt;"",TODAY()&gt;S35),3,0)+IF(AB35="Yes",3,0)+IF(AG35="Yes",2,0)+IF(AND(Y35="",AE35&gt;=14),2,0)+IF(AND(Y35="",AD35&gt;=100000),2,0)+IF(AND(Y35&lt;&gt;"",V35=""),3,0)+IF(AND(Y35&lt;&gt;"",X35=""),2,0)+IF(AND(Y35&lt;&gt;"",Z35&gt;90),1,0))</f>
        <v/>
      </c>
      <c r="AK35" s="14">
        <f>IF(AJ35="","",IF(AJ35&gt;=10,"CRITICAL",IF(AJ35&gt;=6,"HIGH",IF(AJ35&gt;=3,"WATCH","LOW"))))</f>
        <v/>
      </c>
      <c r="AL35" s="20">
        <f>IF(AJ35="","",TRIM(IF(OR(C35="Major",C35="Systemic"),"major or systemic; ","")&amp;IF(AND(Y35="",S35&lt;&gt;"",TODAY()&gt;S35),"open past agreed date; ","")&amp;IF(AB35="Yes","authority or NOC linked; ","")&amp;IF(AG35="Yes","repeat of a previous NCR; ","")&amp;IF(AND(Y35="",AE35&gt;=14),"programme impact 14 days or more; ","")&amp;IF(AND(Y35="",AD35&gt;=100000),"cost impact AED 100,000 or more; ","")&amp;IF(AND(Y35&lt;&gt;"",V35=""),"closed with no verification date; ","")&amp;IF(AND(Y35&lt;&gt;"",X35=""),"closed without a closure certificate; ","")&amp;IF(AND(Y35&lt;&gt;"",Z35&gt;90),"closed more than 90 days after raising; ","")))</f>
        <v/>
      </c>
    </row>
    <row r="36">
      <c r="A36" s="10" t="n"/>
      <c r="B36" s="11" t="n"/>
      <c r="C36" s="12" t="n"/>
      <c r="D36" s="12" t="n"/>
      <c r="E36" s="12" t="n"/>
      <c r="F36" s="13" t="n"/>
      <c r="G36" s="13" t="n"/>
      <c r="H36" s="13" t="n"/>
      <c r="I36" s="13" t="n"/>
      <c r="J36" s="13" t="n"/>
      <c r="K36" s="13" t="n"/>
      <c r="L36" s="13" t="n"/>
      <c r="M36" s="11" t="n"/>
      <c r="N36" s="11" t="n"/>
      <c r="O36" s="12" t="n"/>
      <c r="P36" s="13" t="n"/>
      <c r="Q36" s="13" t="n"/>
      <c r="R36" s="13" t="n"/>
      <c r="S36" s="11" t="n"/>
      <c r="T36" s="11" t="n"/>
      <c r="U36" s="13" t="n"/>
      <c r="V36" s="11" t="n"/>
      <c r="W36" s="12" t="n"/>
      <c r="X36" s="12" t="n"/>
      <c r="Y36" s="11" t="n"/>
      <c r="Z36" s="14">
        <f>IF(A36="","",IF(Y36&lt;&gt;"",Y36-B36,TODAY()-B36))</f>
        <v/>
      </c>
      <c r="AA36" s="14">
        <f>IF(A36="","",IF(AND(Y36="",TODAY()&gt;S36),"OVERDUE",IF(AND(Y36&lt;&gt;"",Y36&gt;S36),"CLOSED LATE","")))</f>
        <v/>
      </c>
      <c r="AB36" s="12" t="n"/>
      <c r="AC36" s="13" t="n"/>
      <c r="AD36" s="21" t="n"/>
      <c r="AE36" s="12" t="n"/>
      <c r="AF36" s="14">
        <f>IF(A36="","",IF(Y36&lt;&gt;"","Closed",IF(TODAY()&gt;S36,"Overdue","Open")))</f>
        <v/>
      </c>
      <c r="AG36" s="12" t="n"/>
      <c r="AH36" s="13" t="n"/>
      <c r="AI36" s="12" t="n"/>
      <c r="AJ36" s="14">
        <f>IF(A36="","",IF(OR(C36="Major",C36="Systemic"),4,IF(C36="Minor",1,0))+IF(AND(Y36="",S36&lt;&gt;"",TODAY()&gt;S36),3,0)+IF(AB36="Yes",3,0)+IF(AG36="Yes",2,0)+IF(AND(Y36="",AE36&gt;=14),2,0)+IF(AND(Y36="",AD36&gt;=100000),2,0)+IF(AND(Y36&lt;&gt;"",V36=""),3,0)+IF(AND(Y36&lt;&gt;"",X36=""),2,0)+IF(AND(Y36&lt;&gt;"",Z36&gt;90),1,0))</f>
        <v/>
      </c>
      <c r="AK36" s="14">
        <f>IF(AJ36="","",IF(AJ36&gt;=10,"CRITICAL",IF(AJ36&gt;=6,"HIGH",IF(AJ36&gt;=3,"WATCH","LOW"))))</f>
        <v/>
      </c>
      <c r="AL36" s="20">
        <f>IF(AJ36="","",TRIM(IF(OR(C36="Major",C36="Systemic"),"major or systemic; ","")&amp;IF(AND(Y36="",S36&lt;&gt;"",TODAY()&gt;S36),"open past agreed date; ","")&amp;IF(AB36="Yes","authority or NOC linked; ","")&amp;IF(AG36="Yes","repeat of a previous NCR; ","")&amp;IF(AND(Y36="",AE36&gt;=14),"programme impact 14 days or more; ","")&amp;IF(AND(Y36="",AD36&gt;=100000),"cost impact AED 100,000 or more; ","")&amp;IF(AND(Y36&lt;&gt;"",V36=""),"closed with no verification date; ","")&amp;IF(AND(Y36&lt;&gt;"",X36=""),"closed without a closure certificate; ","")&amp;IF(AND(Y36&lt;&gt;"",Z36&gt;90),"closed more than 90 days after raising; ","")))</f>
        <v/>
      </c>
    </row>
    <row r="37">
      <c r="A37" s="10" t="n"/>
      <c r="B37" s="11" t="n"/>
      <c r="C37" s="12" t="n"/>
      <c r="D37" s="12" t="n"/>
      <c r="E37" s="12" t="n"/>
      <c r="F37" s="13" t="n"/>
      <c r="G37" s="13" t="n"/>
      <c r="H37" s="13" t="n"/>
      <c r="I37" s="13" t="n"/>
      <c r="J37" s="13" t="n"/>
      <c r="K37" s="13" t="n"/>
      <c r="L37" s="13" t="n"/>
      <c r="M37" s="11" t="n"/>
      <c r="N37" s="11" t="n"/>
      <c r="O37" s="12" t="n"/>
      <c r="P37" s="13" t="n"/>
      <c r="Q37" s="13" t="n"/>
      <c r="R37" s="13" t="n"/>
      <c r="S37" s="11" t="n"/>
      <c r="T37" s="11" t="n"/>
      <c r="U37" s="13" t="n"/>
      <c r="V37" s="11" t="n"/>
      <c r="W37" s="12" t="n"/>
      <c r="X37" s="12" t="n"/>
      <c r="Y37" s="11" t="n"/>
      <c r="Z37" s="14">
        <f>IF(A37="","",IF(Y37&lt;&gt;"",Y37-B37,TODAY()-B37))</f>
        <v/>
      </c>
      <c r="AA37" s="14">
        <f>IF(A37="","",IF(AND(Y37="",TODAY()&gt;S37),"OVERDUE",IF(AND(Y37&lt;&gt;"",Y37&gt;S37),"CLOSED LATE","")))</f>
        <v/>
      </c>
      <c r="AB37" s="12" t="n"/>
      <c r="AC37" s="13" t="n"/>
      <c r="AD37" s="21" t="n"/>
      <c r="AE37" s="12" t="n"/>
      <c r="AF37" s="14">
        <f>IF(A37="","",IF(Y37&lt;&gt;"","Closed",IF(TODAY()&gt;S37,"Overdue","Open")))</f>
        <v/>
      </c>
      <c r="AG37" s="12" t="n"/>
      <c r="AH37" s="13" t="n"/>
      <c r="AI37" s="12" t="n"/>
      <c r="AJ37" s="14">
        <f>IF(A37="","",IF(OR(C37="Major",C37="Systemic"),4,IF(C37="Minor",1,0))+IF(AND(Y37="",S37&lt;&gt;"",TODAY()&gt;S37),3,0)+IF(AB37="Yes",3,0)+IF(AG37="Yes",2,0)+IF(AND(Y37="",AE37&gt;=14),2,0)+IF(AND(Y37="",AD37&gt;=100000),2,0)+IF(AND(Y37&lt;&gt;"",V37=""),3,0)+IF(AND(Y37&lt;&gt;"",X37=""),2,0)+IF(AND(Y37&lt;&gt;"",Z37&gt;90),1,0))</f>
        <v/>
      </c>
      <c r="AK37" s="14">
        <f>IF(AJ37="","",IF(AJ37&gt;=10,"CRITICAL",IF(AJ37&gt;=6,"HIGH",IF(AJ37&gt;=3,"WATCH","LOW"))))</f>
        <v/>
      </c>
      <c r="AL37" s="20">
        <f>IF(AJ37="","",TRIM(IF(OR(C37="Major",C37="Systemic"),"major or systemic; ","")&amp;IF(AND(Y37="",S37&lt;&gt;"",TODAY()&gt;S37),"open past agreed date; ","")&amp;IF(AB37="Yes","authority or NOC linked; ","")&amp;IF(AG37="Yes","repeat of a previous NCR; ","")&amp;IF(AND(Y37="",AE37&gt;=14),"programme impact 14 days or more; ","")&amp;IF(AND(Y37="",AD37&gt;=100000),"cost impact AED 100,000 or more; ","")&amp;IF(AND(Y37&lt;&gt;"",V37=""),"closed with no verification date; ","")&amp;IF(AND(Y37&lt;&gt;"",X37=""),"closed without a closure certificate; ","")&amp;IF(AND(Y37&lt;&gt;"",Z37&gt;90),"closed more than 90 days after raising; ","")))</f>
        <v/>
      </c>
    </row>
    <row r="38">
      <c r="A38" s="10" t="n"/>
      <c r="B38" s="11" t="n"/>
      <c r="C38" s="12" t="n"/>
      <c r="D38" s="12" t="n"/>
      <c r="E38" s="12" t="n"/>
      <c r="F38" s="13" t="n"/>
      <c r="G38" s="13" t="n"/>
      <c r="H38" s="13" t="n"/>
      <c r="I38" s="13" t="n"/>
      <c r="J38" s="13" t="n"/>
      <c r="K38" s="13" t="n"/>
      <c r="L38" s="13" t="n"/>
      <c r="M38" s="11" t="n"/>
      <c r="N38" s="11" t="n"/>
      <c r="O38" s="12" t="n"/>
      <c r="P38" s="13" t="n"/>
      <c r="Q38" s="13" t="n"/>
      <c r="R38" s="13" t="n"/>
      <c r="S38" s="11" t="n"/>
      <c r="T38" s="11" t="n"/>
      <c r="U38" s="13" t="n"/>
      <c r="V38" s="11" t="n"/>
      <c r="W38" s="12" t="n"/>
      <c r="X38" s="12" t="n"/>
      <c r="Y38" s="11" t="n"/>
      <c r="Z38" s="14">
        <f>IF(A38="","",IF(Y38&lt;&gt;"",Y38-B38,TODAY()-B38))</f>
        <v/>
      </c>
      <c r="AA38" s="14">
        <f>IF(A38="","",IF(AND(Y38="",TODAY()&gt;S38),"OVERDUE",IF(AND(Y38&lt;&gt;"",Y38&gt;S38),"CLOSED LATE","")))</f>
        <v/>
      </c>
      <c r="AB38" s="12" t="n"/>
      <c r="AC38" s="13" t="n"/>
      <c r="AD38" s="21" t="n"/>
      <c r="AE38" s="12" t="n"/>
      <c r="AF38" s="14">
        <f>IF(A38="","",IF(Y38&lt;&gt;"","Closed",IF(TODAY()&gt;S38,"Overdue","Open")))</f>
        <v/>
      </c>
      <c r="AG38" s="12" t="n"/>
      <c r="AH38" s="13" t="n"/>
      <c r="AI38" s="12" t="n"/>
      <c r="AJ38" s="14">
        <f>IF(A38="","",IF(OR(C38="Major",C38="Systemic"),4,IF(C38="Minor",1,0))+IF(AND(Y38="",S38&lt;&gt;"",TODAY()&gt;S38),3,0)+IF(AB38="Yes",3,0)+IF(AG38="Yes",2,0)+IF(AND(Y38="",AE38&gt;=14),2,0)+IF(AND(Y38="",AD38&gt;=100000),2,0)+IF(AND(Y38&lt;&gt;"",V38=""),3,0)+IF(AND(Y38&lt;&gt;"",X38=""),2,0)+IF(AND(Y38&lt;&gt;"",Z38&gt;90),1,0))</f>
        <v/>
      </c>
      <c r="AK38" s="14">
        <f>IF(AJ38="","",IF(AJ38&gt;=10,"CRITICAL",IF(AJ38&gt;=6,"HIGH",IF(AJ38&gt;=3,"WATCH","LOW"))))</f>
        <v/>
      </c>
      <c r="AL38" s="20">
        <f>IF(AJ38="","",TRIM(IF(OR(C38="Major",C38="Systemic"),"major or systemic; ","")&amp;IF(AND(Y38="",S38&lt;&gt;"",TODAY()&gt;S38),"open past agreed date; ","")&amp;IF(AB38="Yes","authority or NOC linked; ","")&amp;IF(AG38="Yes","repeat of a previous NCR; ","")&amp;IF(AND(Y38="",AE38&gt;=14),"programme impact 14 days or more; ","")&amp;IF(AND(Y38="",AD38&gt;=100000),"cost impact AED 100,000 or more; ","")&amp;IF(AND(Y38&lt;&gt;"",V38=""),"closed with no verification date; ","")&amp;IF(AND(Y38&lt;&gt;"",X38=""),"closed without a closure certificate; ","")&amp;IF(AND(Y38&lt;&gt;"",Z38&gt;90),"closed more than 90 days after raising; ","")))</f>
        <v/>
      </c>
    </row>
    <row r="39">
      <c r="A39" s="10" t="n"/>
      <c r="B39" s="11" t="n"/>
      <c r="C39" s="12" t="n"/>
      <c r="D39" s="12" t="n"/>
      <c r="E39" s="12" t="n"/>
      <c r="F39" s="13" t="n"/>
      <c r="G39" s="13" t="n"/>
      <c r="H39" s="13" t="n"/>
      <c r="I39" s="13" t="n"/>
      <c r="J39" s="13" t="n"/>
      <c r="K39" s="13" t="n"/>
      <c r="L39" s="13" t="n"/>
      <c r="M39" s="11" t="n"/>
      <c r="N39" s="11" t="n"/>
      <c r="O39" s="12" t="n"/>
      <c r="P39" s="13" t="n"/>
      <c r="Q39" s="13" t="n"/>
      <c r="R39" s="13" t="n"/>
      <c r="S39" s="11" t="n"/>
      <c r="T39" s="11" t="n"/>
      <c r="U39" s="13" t="n"/>
      <c r="V39" s="11" t="n"/>
      <c r="W39" s="12" t="n"/>
      <c r="X39" s="12" t="n"/>
      <c r="Y39" s="11" t="n"/>
      <c r="Z39" s="14">
        <f>IF(A39="","",IF(Y39&lt;&gt;"",Y39-B39,TODAY()-B39))</f>
        <v/>
      </c>
      <c r="AA39" s="14">
        <f>IF(A39="","",IF(AND(Y39="",TODAY()&gt;S39),"OVERDUE",IF(AND(Y39&lt;&gt;"",Y39&gt;S39),"CLOSED LATE","")))</f>
        <v/>
      </c>
      <c r="AB39" s="12" t="n"/>
      <c r="AC39" s="13" t="n"/>
      <c r="AD39" s="21" t="n"/>
      <c r="AE39" s="12" t="n"/>
      <c r="AF39" s="14">
        <f>IF(A39="","",IF(Y39&lt;&gt;"","Closed",IF(TODAY()&gt;S39,"Overdue","Open")))</f>
        <v/>
      </c>
      <c r="AG39" s="12" t="n"/>
      <c r="AH39" s="13" t="n"/>
      <c r="AI39" s="12" t="n"/>
      <c r="AJ39" s="14">
        <f>IF(A39="","",IF(OR(C39="Major",C39="Systemic"),4,IF(C39="Minor",1,0))+IF(AND(Y39="",S39&lt;&gt;"",TODAY()&gt;S39),3,0)+IF(AB39="Yes",3,0)+IF(AG39="Yes",2,0)+IF(AND(Y39="",AE39&gt;=14),2,0)+IF(AND(Y39="",AD39&gt;=100000),2,0)+IF(AND(Y39&lt;&gt;"",V39=""),3,0)+IF(AND(Y39&lt;&gt;"",X39=""),2,0)+IF(AND(Y39&lt;&gt;"",Z39&gt;90),1,0))</f>
        <v/>
      </c>
      <c r="AK39" s="14">
        <f>IF(AJ39="","",IF(AJ39&gt;=10,"CRITICAL",IF(AJ39&gt;=6,"HIGH",IF(AJ39&gt;=3,"WATCH","LOW"))))</f>
        <v/>
      </c>
      <c r="AL39" s="20">
        <f>IF(AJ39="","",TRIM(IF(OR(C39="Major",C39="Systemic"),"major or systemic; ","")&amp;IF(AND(Y39="",S39&lt;&gt;"",TODAY()&gt;S39),"open past agreed date; ","")&amp;IF(AB39="Yes","authority or NOC linked; ","")&amp;IF(AG39="Yes","repeat of a previous NCR; ","")&amp;IF(AND(Y39="",AE39&gt;=14),"programme impact 14 days or more; ","")&amp;IF(AND(Y39="",AD39&gt;=100000),"cost impact AED 100,000 or more; ","")&amp;IF(AND(Y39&lt;&gt;"",V39=""),"closed with no verification date; ","")&amp;IF(AND(Y39&lt;&gt;"",X39=""),"closed without a closure certificate; ","")&amp;IF(AND(Y39&lt;&gt;"",Z39&gt;90),"closed more than 90 days after raising; ","")))</f>
        <v/>
      </c>
    </row>
    <row r="40">
      <c r="A40" s="10" t="n"/>
      <c r="B40" s="11" t="n"/>
      <c r="C40" s="12" t="n"/>
      <c r="D40" s="12" t="n"/>
      <c r="E40" s="12" t="n"/>
      <c r="F40" s="13" t="n"/>
      <c r="G40" s="13" t="n"/>
      <c r="H40" s="13" t="n"/>
      <c r="I40" s="13" t="n"/>
      <c r="J40" s="13" t="n"/>
      <c r="K40" s="13" t="n"/>
      <c r="L40" s="13" t="n"/>
      <c r="M40" s="11" t="n"/>
      <c r="N40" s="11" t="n"/>
      <c r="O40" s="12" t="n"/>
      <c r="P40" s="13" t="n"/>
      <c r="Q40" s="13" t="n"/>
      <c r="R40" s="13" t="n"/>
      <c r="S40" s="11" t="n"/>
      <c r="T40" s="11" t="n"/>
      <c r="U40" s="13" t="n"/>
      <c r="V40" s="11" t="n"/>
      <c r="W40" s="12" t="n"/>
      <c r="X40" s="12" t="n"/>
      <c r="Y40" s="11" t="n"/>
      <c r="Z40" s="14">
        <f>IF(A40="","",IF(Y40&lt;&gt;"",Y40-B40,TODAY()-B40))</f>
        <v/>
      </c>
      <c r="AA40" s="14">
        <f>IF(A40="","",IF(AND(Y40="",TODAY()&gt;S40),"OVERDUE",IF(AND(Y40&lt;&gt;"",Y40&gt;S40),"CLOSED LATE","")))</f>
        <v/>
      </c>
      <c r="AB40" s="12" t="n"/>
      <c r="AC40" s="13" t="n"/>
      <c r="AD40" s="21" t="n"/>
      <c r="AE40" s="12" t="n"/>
      <c r="AF40" s="14">
        <f>IF(A40="","",IF(Y40&lt;&gt;"","Closed",IF(TODAY()&gt;S40,"Overdue","Open")))</f>
        <v/>
      </c>
      <c r="AG40" s="12" t="n"/>
      <c r="AH40" s="13" t="n"/>
      <c r="AI40" s="12" t="n"/>
      <c r="AJ40" s="14">
        <f>IF(A40="","",IF(OR(C40="Major",C40="Systemic"),4,IF(C40="Minor",1,0))+IF(AND(Y40="",S40&lt;&gt;"",TODAY()&gt;S40),3,0)+IF(AB40="Yes",3,0)+IF(AG40="Yes",2,0)+IF(AND(Y40="",AE40&gt;=14),2,0)+IF(AND(Y40="",AD40&gt;=100000),2,0)+IF(AND(Y40&lt;&gt;"",V40=""),3,0)+IF(AND(Y40&lt;&gt;"",X40=""),2,0)+IF(AND(Y40&lt;&gt;"",Z40&gt;90),1,0))</f>
        <v/>
      </c>
      <c r="AK40" s="14">
        <f>IF(AJ40="","",IF(AJ40&gt;=10,"CRITICAL",IF(AJ40&gt;=6,"HIGH",IF(AJ40&gt;=3,"WATCH","LOW"))))</f>
        <v/>
      </c>
      <c r="AL40" s="20">
        <f>IF(AJ40="","",TRIM(IF(OR(C40="Major",C40="Systemic"),"major or systemic; ","")&amp;IF(AND(Y40="",S40&lt;&gt;"",TODAY()&gt;S40),"open past agreed date; ","")&amp;IF(AB40="Yes","authority or NOC linked; ","")&amp;IF(AG40="Yes","repeat of a previous NCR; ","")&amp;IF(AND(Y40="",AE40&gt;=14),"programme impact 14 days or more; ","")&amp;IF(AND(Y40="",AD40&gt;=100000),"cost impact AED 100,000 or more; ","")&amp;IF(AND(Y40&lt;&gt;"",V40=""),"closed with no verification date; ","")&amp;IF(AND(Y40&lt;&gt;"",X40=""),"closed without a closure certificate; ","")&amp;IF(AND(Y40&lt;&gt;"",Z40&gt;90),"closed more than 90 days after raising; ","")))</f>
        <v/>
      </c>
    </row>
    <row r="41">
      <c r="A41" s="10" t="n"/>
      <c r="B41" s="11" t="n"/>
      <c r="C41" s="12" t="n"/>
      <c r="D41" s="12" t="n"/>
      <c r="E41" s="12" t="n"/>
      <c r="F41" s="13" t="n"/>
      <c r="G41" s="13" t="n"/>
      <c r="H41" s="13" t="n"/>
      <c r="I41" s="13" t="n"/>
      <c r="J41" s="13" t="n"/>
      <c r="K41" s="13" t="n"/>
      <c r="L41" s="13" t="n"/>
      <c r="M41" s="11" t="n"/>
      <c r="N41" s="11" t="n"/>
      <c r="O41" s="12" t="n"/>
      <c r="P41" s="13" t="n"/>
      <c r="Q41" s="13" t="n"/>
      <c r="R41" s="13" t="n"/>
      <c r="S41" s="11" t="n"/>
      <c r="T41" s="11" t="n"/>
      <c r="U41" s="13" t="n"/>
      <c r="V41" s="11" t="n"/>
      <c r="W41" s="12" t="n"/>
      <c r="X41" s="12" t="n"/>
      <c r="Y41" s="11" t="n"/>
      <c r="Z41" s="14">
        <f>IF(A41="","",IF(Y41&lt;&gt;"",Y41-B41,TODAY()-B41))</f>
        <v/>
      </c>
      <c r="AA41" s="14">
        <f>IF(A41="","",IF(AND(Y41="",TODAY()&gt;S41),"OVERDUE",IF(AND(Y41&lt;&gt;"",Y41&gt;S41),"CLOSED LATE","")))</f>
        <v/>
      </c>
      <c r="AB41" s="12" t="n"/>
      <c r="AC41" s="13" t="n"/>
      <c r="AD41" s="21" t="n"/>
      <c r="AE41" s="12" t="n"/>
      <c r="AF41" s="14">
        <f>IF(A41="","",IF(Y41&lt;&gt;"","Closed",IF(TODAY()&gt;S41,"Overdue","Open")))</f>
        <v/>
      </c>
      <c r="AG41" s="12" t="n"/>
      <c r="AH41" s="13" t="n"/>
      <c r="AI41" s="12" t="n"/>
      <c r="AJ41" s="14">
        <f>IF(A41="","",IF(OR(C41="Major",C41="Systemic"),4,IF(C41="Minor",1,0))+IF(AND(Y41="",S41&lt;&gt;"",TODAY()&gt;S41),3,0)+IF(AB41="Yes",3,0)+IF(AG41="Yes",2,0)+IF(AND(Y41="",AE41&gt;=14),2,0)+IF(AND(Y41="",AD41&gt;=100000),2,0)+IF(AND(Y41&lt;&gt;"",V41=""),3,0)+IF(AND(Y41&lt;&gt;"",X41=""),2,0)+IF(AND(Y41&lt;&gt;"",Z41&gt;90),1,0))</f>
        <v/>
      </c>
      <c r="AK41" s="14">
        <f>IF(AJ41="","",IF(AJ41&gt;=10,"CRITICAL",IF(AJ41&gt;=6,"HIGH",IF(AJ41&gt;=3,"WATCH","LOW"))))</f>
        <v/>
      </c>
      <c r="AL41" s="20">
        <f>IF(AJ41="","",TRIM(IF(OR(C41="Major",C41="Systemic"),"major or systemic; ","")&amp;IF(AND(Y41="",S41&lt;&gt;"",TODAY()&gt;S41),"open past agreed date; ","")&amp;IF(AB41="Yes","authority or NOC linked; ","")&amp;IF(AG41="Yes","repeat of a previous NCR; ","")&amp;IF(AND(Y41="",AE41&gt;=14),"programme impact 14 days or more; ","")&amp;IF(AND(Y41="",AD41&gt;=100000),"cost impact AED 100,000 or more; ","")&amp;IF(AND(Y41&lt;&gt;"",V41=""),"closed with no verification date; ","")&amp;IF(AND(Y41&lt;&gt;"",X41=""),"closed without a closure certificate; ","")&amp;IF(AND(Y41&lt;&gt;"",Z41&gt;90),"closed more than 90 days after raising; ","")))</f>
        <v/>
      </c>
    </row>
    <row r="42">
      <c r="A42" s="10" t="n"/>
      <c r="B42" s="11" t="n"/>
      <c r="C42" s="12" t="n"/>
      <c r="D42" s="12" t="n"/>
      <c r="E42" s="12" t="n"/>
      <c r="F42" s="13" t="n"/>
      <c r="G42" s="13" t="n"/>
      <c r="H42" s="13" t="n"/>
      <c r="I42" s="13" t="n"/>
      <c r="J42" s="13" t="n"/>
      <c r="K42" s="13" t="n"/>
      <c r="L42" s="13" t="n"/>
      <c r="M42" s="11" t="n"/>
      <c r="N42" s="11" t="n"/>
      <c r="O42" s="12" t="n"/>
      <c r="P42" s="13" t="n"/>
      <c r="Q42" s="13" t="n"/>
      <c r="R42" s="13" t="n"/>
      <c r="S42" s="11" t="n"/>
      <c r="T42" s="11" t="n"/>
      <c r="U42" s="13" t="n"/>
      <c r="V42" s="11" t="n"/>
      <c r="W42" s="12" t="n"/>
      <c r="X42" s="12" t="n"/>
      <c r="Y42" s="11" t="n"/>
      <c r="Z42" s="14">
        <f>IF(A42="","",IF(Y42&lt;&gt;"",Y42-B42,TODAY()-B42))</f>
        <v/>
      </c>
      <c r="AA42" s="14">
        <f>IF(A42="","",IF(AND(Y42="",TODAY()&gt;S42),"OVERDUE",IF(AND(Y42&lt;&gt;"",Y42&gt;S42),"CLOSED LATE","")))</f>
        <v/>
      </c>
      <c r="AB42" s="12" t="n"/>
      <c r="AC42" s="13" t="n"/>
      <c r="AD42" s="21" t="n"/>
      <c r="AE42" s="12" t="n"/>
      <c r="AF42" s="14">
        <f>IF(A42="","",IF(Y42&lt;&gt;"","Closed",IF(TODAY()&gt;S42,"Overdue","Open")))</f>
        <v/>
      </c>
      <c r="AG42" s="12" t="n"/>
      <c r="AH42" s="13" t="n"/>
      <c r="AI42" s="12" t="n"/>
      <c r="AJ42" s="14">
        <f>IF(A42="","",IF(OR(C42="Major",C42="Systemic"),4,IF(C42="Minor",1,0))+IF(AND(Y42="",S42&lt;&gt;"",TODAY()&gt;S42),3,0)+IF(AB42="Yes",3,0)+IF(AG42="Yes",2,0)+IF(AND(Y42="",AE42&gt;=14),2,0)+IF(AND(Y42="",AD42&gt;=100000),2,0)+IF(AND(Y42&lt;&gt;"",V42=""),3,0)+IF(AND(Y42&lt;&gt;"",X42=""),2,0)+IF(AND(Y42&lt;&gt;"",Z42&gt;90),1,0))</f>
        <v/>
      </c>
      <c r="AK42" s="14">
        <f>IF(AJ42="","",IF(AJ42&gt;=10,"CRITICAL",IF(AJ42&gt;=6,"HIGH",IF(AJ42&gt;=3,"WATCH","LOW"))))</f>
        <v/>
      </c>
      <c r="AL42" s="20">
        <f>IF(AJ42="","",TRIM(IF(OR(C42="Major",C42="Systemic"),"major or systemic; ","")&amp;IF(AND(Y42="",S42&lt;&gt;"",TODAY()&gt;S42),"open past agreed date; ","")&amp;IF(AB42="Yes","authority or NOC linked; ","")&amp;IF(AG42="Yes","repeat of a previous NCR; ","")&amp;IF(AND(Y42="",AE42&gt;=14),"programme impact 14 days or more; ","")&amp;IF(AND(Y42="",AD42&gt;=100000),"cost impact AED 100,000 or more; ","")&amp;IF(AND(Y42&lt;&gt;"",V42=""),"closed with no verification date; ","")&amp;IF(AND(Y42&lt;&gt;"",X42=""),"closed without a closure certificate; ","")&amp;IF(AND(Y42&lt;&gt;"",Z42&gt;90),"closed more than 90 days after raising; ","")))</f>
        <v/>
      </c>
    </row>
    <row r="43">
      <c r="A43" s="10" t="n"/>
      <c r="B43" s="11" t="n"/>
      <c r="C43" s="12" t="n"/>
      <c r="D43" s="12" t="n"/>
      <c r="E43" s="12" t="n"/>
      <c r="F43" s="13" t="n"/>
      <c r="G43" s="13" t="n"/>
      <c r="H43" s="13" t="n"/>
      <c r="I43" s="13" t="n"/>
      <c r="J43" s="13" t="n"/>
      <c r="K43" s="13" t="n"/>
      <c r="L43" s="13" t="n"/>
      <c r="M43" s="11" t="n"/>
      <c r="N43" s="11" t="n"/>
      <c r="O43" s="12" t="n"/>
      <c r="P43" s="13" t="n"/>
      <c r="Q43" s="13" t="n"/>
      <c r="R43" s="13" t="n"/>
      <c r="S43" s="11" t="n"/>
      <c r="T43" s="11" t="n"/>
      <c r="U43" s="13" t="n"/>
      <c r="V43" s="11" t="n"/>
      <c r="W43" s="12" t="n"/>
      <c r="X43" s="12" t="n"/>
      <c r="Y43" s="11" t="n"/>
      <c r="Z43" s="14">
        <f>IF(A43="","",IF(Y43&lt;&gt;"",Y43-B43,TODAY()-B43))</f>
        <v/>
      </c>
      <c r="AA43" s="14">
        <f>IF(A43="","",IF(AND(Y43="",TODAY()&gt;S43),"OVERDUE",IF(AND(Y43&lt;&gt;"",Y43&gt;S43),"CLOSED LATE","")))</f>
        <v/>
      </c>
      <c r="AB43" s="12" t="n"/>
      <c r="AC43" s="13" t="n"/>
      <c r="AD43" s="21" t="n"/>
      <c r="AE43" s="12" t="n"/>
      <c r="AF43" s="14">
        <f>IF(A43="","",IF(Y43&lt;&gt;"","Closed",IF(TODAY()&gt;S43,"Overdue","Open")))</f>
        <v/>
      </c>
      <c r="AG43" s="12" t="n"/>
      <c r="AH43" s="13" t="n"/>
      <c r="AI43" s="12" t="n"/>
      <c r="AJ43" s="14">
        <f>IF(A43="","",IF(OR(C43="Major",C43="Systemic"),4,IF(C43="Minor",1,0))+IF(AND(Y43="",S43&lt;&gt;"",TODAY()&gt;S43),3,0)+IF(AB43="Yes",3,0)+IF(AG43="Yes",2,0)+IF(AND(Y43="",AE43&gt;=14),2,0)+IF(AND(Y43="",AD43&gt;=100000),2,0)+IF(AND(Y43&lt;&gt;"",V43=""),3,0)+IF(AND(Y43&lt;&gt;"",X43=""),2,0)+IF(AND(Y43&lt;&gt;"",Z43&gt;90),1,0))</f>
        <v/>
      </c>
      <c r="AK43" s="14">
        <f>IF(AJ43="","",IF(AJ43&gt;=10,"CRITICAL",IF(AJ43&gt;=6,"HIGH",IF(AJ43&gt;=3,"WATCH","LOW"))))</f>
        <v/>
      </c>
      <c r="AL43" s="20">
        <f>IF(AJ43="","",TRIM(IF(OR(C43="Major",C43="Systemic"),"major or systemic; ","")&amp;IF(AND(Y43="",S43&lt;&gt;"",TODAY()&gt;S43),"open past agreed date; ","")&amp;IF(AB43="Yes","authority or NOC linked; ","")&amp;IF(AG43="Yes","repeat of a previous NCR; ","")&amp;IF(AND(Y43="",AE43&gt;=14),"programme impact 14 days or more; ","")&amp;IF(AND(Y43="",AD43&gt;=100000),"cost impact AED 100,000 or more; ","")&amp;IF(AND(Y43&lt;&gt;"",V43=""),"closed with no verification date; ","")&amp;IF(AND(Y43&lt;&gt;"",X43=""),"closed without a closure certificate; ","")&amp;IF(AND(Y43&lt;&gt;"",Z43&gt;90),"closed more than 90 days after raising; ","")))</f>
        <v/>
      </c>
    </row>
    <row r="44">
      <c r="A44" s="10" t="n"/>
      <c r="B44" s="11" t="n"/>
      <c r="C44" s="12" t="n"/>
      <c r="D44" s="12" t="n"/>
      <c r="E44" s="12" t="n"/>
      <c r="F44" s="13" t="n"/>
      <c r="G44" s="13" t="n"/>
      <c r="H44" s="13" t="n"/>
      <c r="I44" s="13" t="n"/>
      <c r="J44" s="13" t="n"/>
      <c r="K44" s="13" t="n"/>
      <c r="L44" s="13" t="n"/>
      <c r="M44" s="11" t="n"/>
      <c r="N44" s="11" t="n"/>
      <c r="O44" s="12" t="n"/>
      <c r="P44" s="13" t="n"/>
      <c r="Q44" s="13" t="n"/>
      <c r="R44" s="13" t="n"/>
      <c r="S44" s="11" t="n"/>
      <c r="T44" s="11" t="n"/>
      <c r="U44" s="13" t="n"/>
      <c r="V44" s="11" t="n"/>
      <c r="W44" s="12" t="n"/>
      <c r="X44" s="12" t="n"/>
      <c r="Y44" s="11" t="n"/>
      <c r="Z44" s="14">
        <f>IF(A44="","",IF(Y44&lt;&gt;"",Y44-B44,TODAY()-B44))</f>
        <v/>
      </c>
      <c r="AA44" s="14">
        <f>IF(A44="","",IF(AND(Y44="",TODAY()&gt;S44),"OVERDUE",IF(AND(Y44&lt;&gt;"",Y44&gt;S44),"CLOSED LATE","")))</f>
        <v/>
      </c>
      <c r="AB44" s="12" t="n"/>
      <c r="AC44" s="13" t="n"/>
      <c r="AD44" s="21" t="n"/>
      <c r="AE44" s="12" t="n"/>
      <c r="AF44" s="14">
        <f>IF(A44="","",IF(Y44&lt;&gt;"","Closed",IF(TODAY()&gt;S44,"Overdue","Open")))</f>
        <v/>
      </c>
      <c r="AG44" s="12" t="n"/>
      <c r="AH44" s="13" t="n"/>
      <c r="AI44" s="12" t="n"/>
      <c r="AJ44" s="14">
        <f>IF(A44="","",IF(OR(C44="Major",C44="Systemic"),4,IF(C44="Minor",1,0))+IF(AND(Y44="",S44&lt;&gt;"",TODAY()&gt;S44),3,0)+IF(AB44="Yes",3,0)+IF(AG44="Yes",2,0)+IF(AND(Y44="",AE44&gt;=14),2,0)+IF(AND(Y44="",AD44&gt;=100000),2,0)+IF(AND(Y44&lt;&gt;"",V44=""),3,0)+IF(AND(Y44&lt;&gt;"",X44=""),2,0)+IF(AND(Y44&lt;&gt;"",Z44&gt;90),1,0))</f>
        <v/>
      </c>
      <c r="AK44" s="14">
        <f>IF(AJ44="","",IF(AJ44&gt;=10,"CRITICAL",IF(AJ44&gt;=6,"HIGH",IF(AJ44&gt;=3,"WATCH","LOW"))))</f>
        <v/>
      </c>
      <c r="AL44" s="20">
        <f>IF(AJ44="","",TRIM(IF(OR(C44="Major",C44="Systemic"),"major or systemic; ","")&amp;IF(AND(Y44="",S44&lt;&gt;"",TODAY()&gt;S44),"open past agreed date; ","")&amp;IF(AB44="Yes","authority or NOC linked; ","")&amp;IF(AG44="Yes","repeat of a previous NCR; ","")&amp;IF(AND(Y44="",AE44&gt;=14),"programme impact 14 days or more; ","")&amp;IF(AND(Y44="",AD44&gt;=100000),"cost impact AED 100,000 or more; ","")&amp;IF(AND(Y44&lt;&gt;"",V44=""),"closed with no verification date; ","")&amp;IF(AND(Y44&lt;&gt;"",X44=""),"closed without a closure certificate; ","")&amp;IF(AND(Y44&lt;&gt;"",Z44&gt;90),"closed more than 90 days after raising; ","")))</f>
        <v/>
      </c>
    </row>
    <row r="45">
      <c r="A45" s="10" t="n"/>
      <c r="B45" s="11" t="n"/>
      <c r="C45" s="12" t="n"/>
      <c r="D45" s="12" t="n"/>
      <c r="E45" s="12" t="n"/>
      <c r="F45" s="13" t="n"/>
      <c r="G45" s="13" t="n"/>
      <c r="H45" s="13" t="n"/>
      <c r="I45" s="13" t="n"/>
      <c r="J45" s="13" t="n"/>
      <c r="K45" s="13" t="n"/>
      <c r="L45" s="13" t="n"/>
      <c r="M45" s="11" t="n"/>
      <c r="N45" s="11" t="n"/>
      <c r="O45" s="12" t="n"/>
      <c r="P45" s="13" t="n"/>
      <c r="Q45" s="13" t="n"/>
      <c r="R45" s="13" t="n"/>
      <c r="S45" s="11" t="n"/>
      <c r="T45" s="11" t="n"/>
      <c r="U45" s="13" t="n"/>
      <c r="V45" s="11" t="n"/>
      <c r="W45" s="12" t="n"/>
      <c r="X45" s="12" t="n"/>
      <c r="Y45" s="11" t="n"/>
      <c r="Z45" s="14">
        <f>IF(A45="","",IF(Y45&lt;&gt;"",Y45-B45,TODAY()-B45))</f>
        <v/>
      </c>
      <c r="AA45" s="14">
        <f>IF(A45="","",IF(AND(Y45="",TODAY()&gt;S45),"OVERDUE",IF(AND(Y45&lt;&gt;"",Y45&gt;S45),"CLOSED LATE","")))</f>
        <v/>
      </c>
      <c r="AB45" s="12" t="n"/>
      <c r="AC45" s="13" t="n"/>
      <c r="AD45" s="21" t="n"/>
      <c r="AE45" s="12" t="n"/>
      <c r="AF45" s="14">
        <f>IF(A45="","",IF(Y45&lt;&gt;"","Closed",IF(TODAY()&gt;S45,"Overdue","Open")))</f>
        <v/>
      </c>
      <c r="AG45" s="12" t="n"/>
      <c r="AH45" s="13" t="n"/>
      <c r="AI45" s="12" t="n"/>
      <c r="AJ45" s="14">
        <f>IF(A45="","",IF(OR(C45="Major",C45="Systemic"),4,IF(C45="Minor",1,0))+IF(AND(Y45="",S45&lt;&gt;"",TODAY()&gt;S45),3,0)+IF(AB45="Yes",3,0)+IF(AG45="Yes",2,0)+IF(AND(Y45="",AE45&gt;=14),2,0)+IF(AND(Y45="",AD45&gt;=100000),2,0)+IF(AND(Y45&lt;&gt;"",V45=""),3,0)+IF(AND(Y45&lt;&gt;"",X45=""),2,0)+IF(AND(Y45&lt;&gt;"",Z45&gt;90),1,0))</f>
        <v/>
      </c>
      <c r="AK45" s="14">
        <f>IF(AJ45="","",IF(AJ45&gt;=10,"CRITICAL",IF(AJ45&gt;=6,"HIGH",IF(AJ45&gt;=3,"WATCH","LOW"))))</f>
        <v/>
      </c>
      <c r="AL45" s="20">
        <f>IF(AJ45="","",TRIM(IF(OR(C45="Major",C45="Systemic"),"major or systemic; ","")&amp;IF(AND(Y45="",S45&lt;&gt;"",TODAY()&gt;S45),"open past agreed date; ","")&amp;IF(AB45="Yes","authority or NOC linked; ","")&amp;IF(AG45="Yes","repeat of a previous NCR; ","")&amp;IF(AND(Y45="",AE45&gt;=14),"programme impact 14 days or more; ","")&amp;IF(AND(Y45="",AD45&gt;=100000),"cost impact AED 100,000 or more; ","")&amp;IF(AND(Y45&lt;&gt;"",V45=""),"closed with no verification date; ","")&amp;IF(AND(Y45&lt;&gt;"",X45=""),"closed without a closure certificate; ","")&amp;IF(AND(Y45&lt;&gt;"",Z45&gt;90),"closed more than 90 days after raising; ","")))</f>
        <v/>
      </c>
    </row>
    <row r="46">
      <c r="A46" s="10" t="n"/>
      <c r="B46" s="11" t="n"/>
      <c r="C46" s="12" t="n"/>
      <c r="D46" s="12" t="n"/>
      <c r="E46" s="12" t="n"/>
      <c r="F46" s="13" t="n"/>
      <c r="G46" s="13" t="n"/>
      <c r="H46" s="13" t="n"/>
      <c r="I46" s="13" t="n"/>
      <c r="J46" s="13" t="n"/>
      <c r="K46" s="13" t="n"/>
      <c r="L46" s="13" t="n"/>
      <c r="M46" s="11" t="n"/>
      <c r="N46" s="11" t="n"/>
      <c r="O46" s="12" t="n"/>
      <c r="P46" s="13" t="n"/>
      <c r="Q46" s="13" t="n"/>
      <c r="R46" s="13" t="n"/>
      <c r="S46" s="11" t="n"/>
      <c r="T46" s="11" t="n"/>
      <c r="U46" s="13" t="n"/>
      <c r="V46" s="11" t="n"/>
      <c r="W46" s="12" t="n"/>
      <c r="X46" s="12" t="n"/>
      <c r="Y46" s="11" t="n"/>
      <c r="Z46" s="14">
        <f>IF(A46="","",IF(Y46&lt;&gt;"",Y46-B46,TODAY()-B46))</f>
        <v/>
      </c>
      <c r="AA46" s="14">
        <f>IF(A46="","",IF(AND(Y46="",TODAY()&gt;S46),"OVERDUE",IF(AND(Y46&lt;&gt;"",Y46&gt;S46),"CLOSED LATE","")))</f>
        <v/>
      </c>
      <c r="AB46" s="12" t="n"/>
      <c r="AC46" s="13" t="n"/>
      <c r="AD46" s="21" t="n"/>
      <c r="AE46" s="12" t="n"/>
      <c r="AF46" s="14">
        <f>IF(A46="","",IF(Y46&lt;&gt;"","Closed",IF(TODAY()&gt;S46,"Overdue","Open")))</f>
        <v/>
      </c>
      <c r="AG46" s="12" t="n"/>
      <c r="AH46" s="13" t="n"/>
      <c r="AI46" s="12" t="n"/>
      <c r="AJ46" s="14">
        <f>IF(A46="","",IF(OR(C46="Major",C46="Systemic"),4,IF(C46="Minor",1,0))+IF(AND(Y46="",S46&lt;&gt;"",TODAY()&gt;S46),3,0)+IF(AB46="Yes",3,0)+IF(AG46="Yes",2,0)+IF(AND(Y46="",AE46&gt;=14),2,0)+IF(AND(Y46="",AD46&gt;=100000),2,0)+IF(AND(Y46&lt;&gt;"",V46=""),3,0)+IF(AND(Y46&lt;&gt;"",X46=""),2,0)+IF(AND(Y46&lt;&gt;"",Z46&gt;90),1,0))</f>
        <v/>
      </c>
      <c r="AK46" s="14">
        <f>IF(AJ46="","",IF(AJ46&gt;=10,"CRITICAL",IF(AJ46&gt;=6,"HIGH",IF(AJ46&gt;=3,"WATCH","LOW"))))</f>
        <v/>
      </c>
      <c r="AL46" s="20">
        <f>IF(AJ46="","",TRIM(IF(OR(C46="Major",C46="Systemic"),"major or systemic; ","")&amp;IF(AND(Y46="",S46&lt;&gt;"",TODAY()&gt;S46),"open past agreed date; ","")&amp;IF(AB46="Yes","authority or NOC linked; ","")&amp;IF(AG46="Yes","repeat of a previous NCR; ","")&amp;IF(AND(Y46="",AE46&gt;=14),"programme impact 14 days or more; ","")&amp;IF(AND(Y46="",AD46&gt;=100000),"cost impact AED 100,000 or more; ","")&amp;IF(AND(Y46&lt;&gt;"",V46=""),"closed with no verification date; ","")&amp;IF(AND(Y46&lt;&gt;"",X46=""),"closed without a closure certificate; ","")&amp;IF(AND(Y46&lt;&gt;"",Z46&gt;90),"closed more than 90 days after raising; ","")))</f>
        <v/>
      </c>
    </row>
    <row r="47">
      <c r="A47" s="10" t="n"/>
      <c r="B47" s="11" t="n"/>
      <c r="C47" s="12" t="n"/>
      <c r="D47" s="12" t="n"/>
      <c r="E47" s="12" t="n"/>
      <c r="F47" s="13" t="n"/>
      <c r="G47" s="13" t="n"/>
      <c r="H47" s="13" t="n"/>
      <c r="I47" s="13" t="n"/>
      <c r="J47" s="13" t="n"/>
      <c r="K47" s="13" t="n"/>
      <c r="L47" s="13" t="n"/>
      <c r="M47" s="11" t="n"/>
      <c r="N47" s="11" t="n"/>
      <c r="O47" s="12" t="n"/>
      <c r="P47" s="13" t="n"/>
      <c r="Q47" s="13" t="n"/>
      <c r="R47" s="13" t="n"/>
      <c r="S47" s="11" t="n"/>
      <c r="T47" s="11" t="n"/>
      <c r="U47" s="13" t="n"/>
      <c r="V47" s="11" t="n"/>
      <c r="W47" s="12" t="n"/>
      <c r="X47" s="12" t="n"/>
      <c r="Y47" s="11" t="n"/>
      <c r="Z47" s="14">
        <f>IF(A47="","",IF(Y47&lt;&gt;"",Y47-B47,TODAY()-B47))</f>
        <v/>
      </c>
      <c r="AA47" s="14">
        <f>IF(A47="","",IF(AND(Y47="",TODAY()&gt;S47),"OVERDUE",IF(AND(Y47&lt;&gt;"",Y47&gt;S47),"CLOSED LATE","")))</f>
        <v/>
      </c>
      <c r="AB47" s="12" t="n"/>
      <c r="AC47" s="13" t="n"/>
      <c r="AD47" s="21" t="n"/>
      <c r="AE47" s="12" t="n"/>
      <c r="AF47" s="14">
        <f>IF(A47="","",IF(Y47&lt;&gt;"","Closed",IF(TODAY()&gt;S47,"Overdue","Open")))</f>
        <v/>
      </c>
      <c r="AG47" s="12" t="n"/>
      <c r="AH47" s="13" t="n"/>
      <c r="AI47" s="12" t="n"/>
      <c r="AJ47" s="14">
        <f>IF(A47="","",IF(OR(C47="Major",C47="Systemic"),4,IF(C47="Minor",1,0))+IF(AND(Y47="",S47&lt;&gt;"",TODAY()&gt;S47),3,0)+IF(AB47="Yes",3,0)+IF(AG47="Yes",2,0)+IF(AND(Y47="",AE47&gt;=14),2,0)+IF(AND(Y47="",AD47&gt;=100000),2,0)+IF(AND(Y47&lt;&gt;"",V47=""),3,0)+IF(AND(Y47&lt;&gt;"",X47=""),2,0)+IF(AND(Y47&lt;&gt;"",Z47&gt;90),1,0))</f>
        <v/>
      </c>
      <c r="AK47" s="14">
        <f>IF(AJ47="","",IF(AJ47&gt;=10,"CRITICAL",IF(AJ47&gt;=6,"HIGH",IF(AJ47&gt;=3,"WATCH","LOW"))))</f>
        <v/>
      </c>
      <c r="AL47" s="20">
        <f>IF(AJ47="","",TRIM(IF(OR(C47="Major",C47="Systemic"),"major or systemic; ","")&amp;IF(AND(Y47="",S47&lt;&gt;"",TODAY()&gt;S47),"open past agreed date; ","")&amp;IF(AB47="Yes","authority or NOC linked; ","")&amp;IF(AG47="Yes","repeat of a previous NCR; ","")&amp;IF(AND(Y47="",AE47&gt;=14),"programme impact 14 days or more; ","")&amp;IF(AND(Y47="",AD47&gt;=100000),"cost impact AED 100,000 or more; ","")&amp;IF(AND(Y47&lt;&gt;"",V47=""),"closed with no verification date; ","")&amp;IF(AND(Y47&lt;&gt;"",X47=""),"closed without a closure certificate; ","")&amp;IF(AND(Y47&lt;&gt;"",Z47&gt;90),"closed more than 90 days after raising; ","")))</f>
        <v/>
      </c>
    </row>
    <row r="48">
      <c r="A48" s="10" t="n"/>
      <c r="B48" s="11" t="n"/>
      <c r="C48" s="12" t="n"/>
      <c r="D48" s="12" t="n"/>
      <c r="E48" s="12" t="n"/>
      <c r="F48" s="13" t="n"/>
      <c r="G48" s="13" t="n"/>
      <c r="H48" s="13" t="n"/>
      <c r="I48" s="13" t="n"/>
      <c r="J48" s="13" t="n"/>
      <c r="K48" s="13" t="n"/>
      <c r="L48" s="13" t="n"/>
      <c r="M48" s="11" t="n"/>
      <c r="N48" s="11" t="n"/>
      <c r="O48" s="12" t="n"/>
      <c r="P48" s="13" t="n"/>
      <c r="Q48" s="13" t="n"/>
      <c r="R48" s="13" t="n"/>
      <c r="S48" s="11" t="n"/>
      <c r="T48" s="11" t="n"/>
      <c r="U48" s="13" t="n"/>
      <c r="V48" s="11" t="n"/>
      <c r="W48" s="12" t="n"/>
      <c r="X48" s="12" t="n"/>
      <c r="Y48" s="11" t="n"/>
      <c r="Z48" s="14">
        <f>IF(A48="","",IF(Y48&lt;&gt;"",Y48-B48,TODAY()-B48))</f>
        <v/>
      </c>
      <c r="AA48" s="14">
        <f>IF(A48="","",IF(AND(Y48="",TODAY()&gt;S48),"OVERDUE",IF(AND(Y48&lt;&gt;"",Y48&gt;S48),"CLOSED LATE","")))</f>
        <v/>
      </c>
      <c r="AB48" s="12" t="n"/>
      <c r="AC48" s="13" t="n"/>
      <c r="AD48" s="21" t="n"/>
      <c r="AE48" s="12" t="n"/>
      <c r="AF48" s="14">
        <f>IF(A48="","",IF(Y48&lt;&gt;"","Closed",IF(TODAY()&gt;S48,"Overdue","Open")))</f>
        <v/>
      </c>
      <c r="AG48" s="12" t="n"/>
      <c r="AH48" s="13" t="n"/>
      <c r="AI48" s="12" t="n"/>
      <c r="AJ48" s="14">
        <f>IF(A48="","",IF(OR(C48="Major",C48="Systemic"),4,IF(C48="Minor",1,0))+IF(AND(Y48="",S48&lt;&gt;"",TODAY()&gt;S48),3,0)+IF(AB48="Yes",3,0)+IF(AG48="Yes",2,0)+IF(AND(Y48="",AE48&gt;=14),2,0)+IF(AND(Y48="",AD48&gt;=100000),2,0)+IF(AND(Y48&lt;&gt;"",V48=""),3,0)+IF(AND(Y48&lt;&gt;"",X48=""),2,0)+IF(AND(Y48&lt;&gt;"",Z48&gt;90),1,0))</f>
        <v/>
      </c>
      <c r="AK48" s="14">
        <f>IF(AJ48="","",IF(AJ48&gt;=10,"CRITICAL",IF(AJ48&gt;=6,"HIGH",IF(AJ48&gt;=3,"WATCH","LOW"))))</f>
        <v/>
      </c>
      <c r="AL48" s="20">
        <f>IF(AJ48="","",TRIM(IF(OR(C48="Major",C48="Systemic"),"major or systemic; ","")&amp;IF(AND(Y48="",S48&lt;&gt;"",TODAY()&gt;S48),"open past agreed date; ","")&amp;IF(AB48="Yes","authority or NOC linked; ","")&amp;IF(AG48="Yes","repeat of a previous NCR; ","")&amp;IF(AND(Y48="",AE48&gt;=14),"programme impact 14 days or more; ","")&amp;IF(AND(Y48="",AD48&gt;=100000),"cost impact AED 100,000 or more; ","")&amp;IF(AND(Y48&lt;&gt;"",V48=""),"closed with no verification date; ","")&amp;IF(AND(Y48&lt;&gt;"",X48=""),"closed without a closure certificate; ","")&amp;IF(AND(Y48&lt;&gt;"",Z48&gt;90),"closed more than 90 days after raising; ","")))</f>
        <v/>
      </c>
    </row>
    <row r="49">
      <c r="A49" s="10" t="n"/>
      <c r="B49" s="11" t="n"/>
      <c r="C49" s="12" t="n"/>
      <c r="D49" s="12" t="n"/>
      <c r="E49" s="12" t="n"/>
      <c r="F49" s="13" t="n"/>
      <c r="G49" s="13" t="n"/>
      <c r="H49" s="13" t="n"/>
      <c r="I49" s="13" t="n"/>
      <c r="J49" s="13" t="n"/>
      <c r="K49" s="13" t="n"/>
      <c r="L49" s="13" t="n"/>
      <c r="M49" s="11" t="n"/>
      <c r="N49" s="11" t="n"/>
      <c r="O49" s="12" t="n"/>
      <c r="P49" s="13" t="n"/>
      <c r="Q49" s="13" t="n"/>
      <c r="R49" s="13" t="n"/>
      <c r="S49" s="11" t="n"/>
      <c r="T49" s="11" t="n"/>
      <c r="U49" s="13" t="n"/>
      <c r="V49" s="11" t="n"/>
      <c r="W49" s="12" t="n"/>
      <c r="X49" s="12" t="n"/>
      <c r="Y49" s="11" t="n"/>
      <c r="Z49" s="14">
        <f>IF(A49="","",IF(Y49&lt;&gt;"",Y49-B49,TODAY()-B49))</f>
        <v/>
      </c>
      <c r="AA49" s="14">
        <f>IF(A49="","",IF(AND(Y49="",TODAY()&gt;S49),"OVERDUE",IF(AND(Y49&lt;&gt;"",Y49&gt;S49),"CLOSED LATE","")))</f>
        <v/>
      </c>
      <c r="AB49" s="12" t="n"/>
      <c r="AC49" s="13" t="n"/>
      <c r="AD49" s="21" t="n"/>
      <c r="AE49" s="12" t="n"/>
      <c r="AF49" s="14">
        <f>IF(A49="","",IF(Y49&lt;&gt;"","Closed",IF(TODAY()&gt;S49,"Overdue","Open")))</f>
        <v/>
      </c>
      <c r="AG49" s="12" t="n"/>
      <c r="AH49" s="13" t="n"/>
      <c r="AI49" s="12" t="n"/>
      <c r="AJ49" s="14">
        <f>IF(A49="","",IF(OR(C49="Major",C49="Systemic"),4,IF(C49="Minor",1,0))+IF(AND(Y49="",S49&lt;&gt;"",TODAY()&gt;S49),3,0)+IF(AB49="Yes",3,0)+IF(AG49="Yes",2,0)+IF(AND(Y49="",AE49&gt;=14),2,0)+IF(AND(Y49="",AD49&gt;=100000),2,0)+IF(AND(Y49&lt;&gt;"",V49=""),3,0)+IF(AND(Y49&lt;&gt;"",X49=""),2,0)+IF(AND(Y49&lt;&gt;"",Z49&gt;90),1,0))</f>
        <v/>
      </c>
      <c r="AK49" s="14">
        <f>IF(AJ49="","",IF(AJ49&gt;=10,"CRITICAL",IF(AJ49&gt;=6,"HIGH",IF(AJ49&gt;=3,"WATCH","LOW"))))</f>
        <v/>
      </c>
      <c r="AL49" s="20">
        <f>IF(AJ49="","",TRIM(IF(OR(C49="Major",C49="Systemic"),"major or systemic; ","")&amp;IF(AND(Y49="",S49&lt;&gt;"",TODAY()&gt;S49),"open past agreed date; ","")&amp;IF(AB49="Yes","authority or NOC linked; ","")&amp;IF(AG49="Yes","repeat of a previous NCR; ","")&amp;IF(AND(Y49="",AE49&gt;=14),"programme impact 14 days or more; ","")&amp;IF(AND(Y49="",AD49&gt;=100000),"cost impact AED 100,000 or more; ","")&amp;IF(AND(Y49&lt;&gt;"",V49=""),"closed with no verification date; ","")&amp;IF(AND(Y49&lt;&gt;"",X49=""),"closed without a closure certificate; ","")&amp;IF(AND(Y49&lt;&gt;"",Z49&gt;90),"closed more than 90 days after raising; ","")))</f>
        <v/>
      </c>
    </row>
    <row r="50">
      <c r="A50" s="10" t="n"/>
      <c r="B50" s="11" t="n"/>
      <c r="C50" s="12" t="n"/>
      <c r="D50" s="12" t="n"/>
      <c r="E50" s="12" t="n"/>
      <c r="F50" s="13" t="n"/>
      <c r="G50" s="13" t="n"/>
      <c r="H50" s="13" t="n"/>
      <c r="I50" s="13" t="n"/>
      <c r="J50" s="13" t="n"/>
      <c r="K50" s="13" t="n"/>
      <c r="L50" s="13" t="n"/>
      <c r="M50" s="11" t="n"/>
      <c r="N50" s="11" t="n"/>
      <c r="O50" s="12" t="n"/>
      <c r="P50" s="13" t="n"/>
      <c r="Q50" s="13" t="n"/>
      <c r="R50" s="13" t="n"/>
      <c r="S50" s="11" t="n"/>
      <c r="T50" s="11" t="n"/>
      <c r="U50" s="13" t="n"/>
      <c r="V50" s="11" t="n"/>
      <c r="W50" s="12" t="n"/>
      <c r="X50" s="12" t="n"/>
      <c r="Y50" s="11" t="n"/>
      <c r="Z50" s="14">
        <f>IF(A50="","",IF(Y50&lt;&gt;"",Y50-B50,TODAY()-B50))</f>
        <v/>
      </c>
      <c r="AA50" s="14">
        <f>IF(A50="","",IF(AND(Y50="",TODAY()&gt;S50),"OVERDUE",IF(AND(Y50&lt;&gt;"",Y50&gt;S50),"CLOSED LATE","")))</f>
        <v/>
      </c>
      <c r="AB50" s="12" t="n"/>
      <c r="AC50" s="13" t="n"/>
      <c r="AD50" s="21" t="n"/>
      <c r="AE50" s="12" t="n"/>
      <c r="AF50" s="14">
        <f>IF(A50="","",IF(Y50&lt;&gt;"","Closed",IF(TODAY()&gt;S50,"Overdue","Open")))</f>
        <v/>
      </c>
      <c r="AG50" s="12" t="n"/>
      <c r="AH50" s="13" t="n"/>
      <c r="AI50" s="12" t="n"/>
      <c r="AJ50" s="14">
        <f>IF(A50="","",IF(OR(C50="Major",C50="Systemic"),4,IF(C50="Minor",1,0))+IF(AND(Y50="",S50&lt;&gt;"",TODAY()&gt;S50),3,0)+IF(AB50="Yes",3,0)+IF(AG50="Yes",2,0)+IF(AND(Y50="",AE50&gt;=14),2,0)+IF(AND(Y50="",AD50&gt;=100000),2,0)+IF(AND(Y50&lt;&gt;"",V50=""),3,0)+IF(AND(Y50&lt;&gt;"",X50=""),2,0)+IF(AND(Y50&lt;&gt;"",Z50&gt;90),1,0))</f>
        <v/>
      </c>
      <c r="AK50" s="14">
        <f>IF(AJ50="","",IF(AJ50&gt;=10,"CRITICAL",IF(AJ50&gt;=6,"HIGH",IF(AJ50&gt;=3,"WATCH","LOW"))))</f>
        <v/>
      </c>
      <c r="AL50" s="20">
        <f>IF(AJ50="","",TRIM(IF(OR(C50="Major",C50="Systemic"),"major or systemic; ","")&amp;IF(AND(Y50="",S50&lt;&gt;"",TODAY()&gt;S50),"open past agreed date; ","")&amp;IF(AB50="Yes","authority or NOC linked; ","")&amp;IF(AG50="Yes","repeat of a previous NCR; ","")&amp;IF(AND(Y50="",AE50&gt;=14),"programme impact 14 days or more; ","")&amp;IF(AND(Y50="",AD50&gt;=100000),"cost impact AED 100,000 or more; ","")&amp;IF(AND(Y50&lt;&gt;"",V50=""),"closed with no verification date; ","")&amp;IF(AND(Y50&lt;&gt;"",X50=""),"closed without a closure certificate; ","")&amp;IF(AND(Y50&lt;&gt;"",Z50&gt;90),"closed more than 90 days after raising; ","")))</f>
        <v/>
      </c>
    </row>
    <row r="51">
      <c r="A51" s="10" t="n"/>
      <c r="B51" s="11" t="n"/>
      <c r="C51" s="12" t="n"/>
      <c r="D51" s="12" t="n"/>
      <c r="E51" s="12" t="n"/>
      <c r="F51" s="13" t="n"/>
      <c r="G51" s="13" t="n"/>
      <c r="H51" s="13" t="n"/>
      <c r="I51" s="13" t="n"/>
      <c r="J51" s="13" t="n"/>
      <c r="K51" s="13" t="n"/>
      <c r="L51" s="13" t="n"/>
      <c r="M51" s="11" t="n"/>
      <c r="N51" s="11" t="n"/>
      <c r="O51" s="12" t="n"/>
      <c r="P51" s="13" t="n"/>
      <c r="Q51" s="13" t="n"/>
      <c r="R51" s="13" t="n"/>
      <c r="S51" s="11" t="n"/>
      <c r="T51" s="11" t="n"/>
      <c r="U51" s="13" t="n"/>
      <c r="V51" s="11" t="n"/>
      <c r="W51" s="12" t="n"/>
      <c r="X51" s="12" t="n"/>
      <c r="Y51" s="11" t="n"/>
      <c r="Z51" s="14">
        <f>IF(A51="","",IF(Y51&lt;&gt;"",Y51-B51,TODAY()-B51))</f>
        <v/>
      </c>
      <c r="AA51" s="14">
        <f>IF(A51="","",IF(AND(Y51="",TODAY()&gt;S51),"OVERDUE",IF(AND(Y51&lt;&gt;"",Y51&gt;S51),"CLOSED LATE","")))</f>
        <v/>
      </c>
      <c r="AB51" s="12" t="n"/>
      <c r="AC51" s="13" t="n"/>
      <c r="AD51" s="21" t="n"/>
      <c r="AE51" s="12" t="n"/>
      <c r="AF51" s="14">
        <f>IF(A51="","",IF(Y51&lt;&gt;"","Closed",IF(TODAY()&gt;S51,"Overdue","Open")))</f>
        <v/>
      </c>
      <c r="AG51" s="12" t="n"/>
      <c r="AH51" s="13" t="n"/>
      <c r="AI51" s="12" t="n"/>
      <c r="AJ51" s="14">
        <f>IF(A51="","",IF(OR(C51="Major",C51="Systemic"),4,IF(C51="Minor",1,0))+IF(AND(Y51="",S51&lt;&gt;"",TODAY()&gt;S51),3,0)+IF(AB51="Yes",3,0)+IF(AG51="Yes",2,0)+IF(AND(Y51="",AE51&gt;=14),2,0)+IF(AND(Y51="",AD51&gt;=100000),2,0)+IF(AND(Y51&lt;&gt;"",V51=""),3,0)+IF(AND(Y51&lt;&gt;"",X51=""),2,0)+IF(AND(Y51&lt;&gt;"",Z51&gt;90),1,0))</f>
        <v/>
      </c>
      <c r="AK51" s="14">
        <f>IF(AJ51="","",IF(AJ51&gt;=10,"CRITICAL",IF(AJ51&gt;=6,"HIGH",IF(AJ51&gt;=3,"WATCH","LOW"))))</f>
        <v/>
      </c>
      <c r="AL51" s="20">
        <f>IF(AJ51="","",TRIM(IF(OR(C51="Major",C51="Systemic"),"major or systemic; ","")&amp;IF(AND(Y51="",S51&lt;&gt;"",TODAY()&gt;S51),"open past agreed date; ","")&amp;IF(AB51="Yes","authority or NOC linked; ","")&amp;IF(AG51="Yes","repeat of a previous NCR; ","")&amp;IF(AND(Y51="",AE51&gt;=14),"programme impact 14 days or more; ","")&amp;IF(AND(Y51="",AD51&gt;=100000),"cost impact AED 100,000 or more; ","")&amp;IF(AND(Y51&lt;&gt;"",V51=""),"closed with no verification date; ","")&amp;IF(AND(Y51&lt;&gt;"",X51=""),"closed without a closure certificate; ","")&amp;IF(AND(Y51&lt;&gt;"",Z51&gt;90),"closed more than 90 days after raising; ","")))</f>
        <v/>
      </c>
    </row>
    <row r="52">
      <c r="A52" s="10" t="n"/>
      <c r="B52" s="11" t="n"/>
      <c r="C52" s="12" t="n"/>
      <c r="D52" s="12" t="n"/>
      <c r="E52" s="12" t="n"/>
      <c r="F52" s="13" t="n"/>
      <c r="G52" s="13" t="n"/>
      <c r="H52" s="13" t="n"/>
      <c r="I52" s="13" t="n"/>
      <c r="J52" s="13" t="n"/>
      <c r="K52" s="13" t="n"/>
      <c r="L52" s="13" t="n"/>
      <c r="M52" s="11" t="n"/>
      <c r="N52" s="11" t="n"/>
      <c r="O52" s="12" t="n"/>
      <c r="P52" s="13" t="n"/>
      <c r="Q52" s="13" t="n"/>
      <c r="R52" s="13" t="n"/>
      <c r="S52" s="11" t="n"/>
      <c r="T52" s="11" t="n"/>
      <c r="U52" s="13" t="n"/>
      <c r="V52" s="11" t="n"/>
      <c r="W52" s="12" t="n"/>
      <c r="X52" s="12" t="n"/>
      <c r="Y52" s="11" t="n"/>
      <c r="Z52" s="14">
        <f>IF(A52="","",IF(Y52&lt;&gt;"",Y52-B52,TODAY()-B52))</f>
        <v/>
      </c>
      <c r="AA52" s="14">
        <f>IF(A52="","",IF(AND(Y52="",TODAY()&gt;S52),"OVERDUE",IF(AND(Y52&lt;&gt;"",Y52&gt;S52),"CLOSED LATE","")))</f>
        <v/>
      </c>
      <c r="AB52" s="12" t="n"/>
      <c r="AC52" s="13" t="n"/>
      <c r="AD52" s="21" t="n"/>
      <c r="AE52" s="12" t="n"/>
      <c r="AF52" s="14">
        <f>IF(A52="","",IF(Y52&lt;&gt;"","Closed",IF(TODAY()&gt;S52,"Overdue","Open")))</f>
        <v/>
      </c>
      <c r="AG52" s="12" t="n"/>
      <c r="AH52" s="13" t="n"/>
      <c r="AI52" s="12" t="n"/>
      <c r="AJ52" s="14">
        <f>IF(A52="","",IF(OR(C52="Major",C52="Systemic"),4,IF(C52="Minor",1,0))+IF(AND(Y52="",S52&lt;&gt;"",TODAY()&gt;S52),3,0)+IF(AB52="Yes",3,0)+IF(AG52="Yes",2,0)+IF(AND(Y52="",AE52&gt;=14),2,0)+IF(AND(Y52="",AD52&gt;=100000),2,0)+IF(AND(Y52&lt;&gt;"",V52=""),3,0)+IF(AND(Y52&lt;&gt;"",X52=""),2,0)+IF(AND(Y52&lt;&gt;"",Z52&gt;90),1,0))</f>
        <v/>
      </c>
      <c r="AK52" s="14">
        <f>IF(AJ52="","",IF(AJ52&gt;=10,"CRITICAL",IF(AJ52&gt;=6,"HIGH",IF(AJ52&gt;=3,"WATCH","LOW"))))</f>
        <v/>
      </c>
      <c r="AL52" s="20">
        <f>IF(AJ52="","",TRIM(IF(OR(C52="Major",C52="Systemic"),"major or systemic; ","")&amp;IF(AND(Y52="",S52&lt;&gt;"",TODAY()&gt;S52),"open past agreed date; ","")&amp;IF(AB52="Yes","authority or NOC linked; ","")&amp;IF(AG52="Yes","repeat of a previous NCR; ","")&amp;IF(AND(Y52="",AE52&gt;=14),"programme impact 14 days or more; ","")&amp;IF(AND(Y52="",AD52&gt;=100000),"cost impact AED 100,000 or more; ","")&amp;IF(AND(Y52&lt;&gt;"",V52=""),"closed with no verification date; ","")&amp;IF(AND(Y52&lt;&gt;"",X52=""),"closed without a closure certificate; ","")&amp;IF(AND(Y52&lt;&gt;"",Z52&gt;90),"closed more than 90 days after raising; ","")))</f>
        <v/>
      </c>
    </row>
    <row r="53">
      <c r="A53" s="10" t="n"/>
      <c r="B53" s="11" t="n"/>
      <c r="C53" s="12" t="n"/>
      <c r="D53" s="12" t="n"/>
      <c r="E53" s="12" t="n"/>
      <c r="F53" s="13" t="n"/>
      <c r="G53" s="13" t="n"/>
      <c r="H53" s="13" t="n"/>
      <c r="I53" s="13" t="n"/>
      <c r="J53" s="13" t="n"/>
      <c r="K53" s="13" t="n"/>
      <c r="L53" s="13" t="n"/>
      <c r="M53" s="11" t="n"/>
      <c r="N53" s="11" t="n"/>
      <c r="O53" s="12" t="n"/>
      <c r="P53" s="13" t="n"/>
      <c r="Q53" s="13" t="n"/>
      <c r="R53" s="13" t="n"/>
      <c r="S53" s="11" t="n"/>
      <c r="T53" s="11" t="n"/>
      <c r="U53" s="13" t="n"/>
      <c r="V53" s="11" t="n"/>
      <c r="W53" s="12" t="n"/>
      <c r="X53" s="12" t="n"/>
      <c r="Y53" s="11" t="n"/>
      <c r="Z53" s="14">
        <f>IF(A53="","",IF(Y53&lt;&gt;"",Y53-B53,TODAY()-B53))</f>
        <v/>
      </c>
      <c r="AA53" s="14">
        <f>IF(A53="","",IF(AND(Y53="",TODAY()&gt;S53),"OVERDUE",IF(AND(Y53&lt;&gt;"",Y53&gt;S53),"CLOSED LATE","")))</f>
        <v/>
      </c>
      <c r="AB53" s="12" t="n"/>
      <c r="AC53" s="13" t="n"/>
      <c r="AD53" s="21" t="n"/>
      <c r="AE53" s="12" t="n"/>
      <c r="AF53" s="14">
        <f>IF(A53="","",IF(Y53&lt;&gt;"","Closed",IF(TODAY()&gt;S53,"Overdue","Open")))</f>
        <v/>
      </c>
      <c r="AG53" s="12" t="n"/>
      <c r="AH53" s="13" t="n"/>
      <c r="AI53" s="12" t="n"/>
      <c r="AJ53" s="14">
        <f>IF(A53="","",IF(OR(C53="Major",C53="Systemic"),4,IF(C53="Minor",1,0))+IF(AND(Y53="",S53&lt;&gt;"",TODAY()&gt;S53),3,0)+IF(AB53="Yes",3,0)+IF(AG53="Yes",2,0)+IF(AND(Y53="",AE53&gt;=14),2,0)+IF(AND(Y53="",AD53&gt;=100000),2,0)+IF(AND(Y53&lt;&gt;"",V53=""),3,0)+IF(AND(Y53&lt;&gt;"",X53=""),2,0)+IF(AND(Y53&lt;&gt;"",Z53&gt;90),1,0))</f>
        <v/>
      </c>
      <c r="AK53" s="14">
        <f>IF(AJ53="","",IF(AJ53&gt;=10,"CRITICAL",IF(AJ53&gt;=6,"HIGH",IF(AJ53&gt;=3,"WATCH","LOW"))))</f>
        <v/>
      </c>
      <c r="AL53" s="20">
        <f>IF(AJ53="","",TRIM(IF(OR(C53="Major",C53="Systemic"),"major or systemic; ","")&amp;IF(AND(Y53="",S53&lt;&gt;"",TODAY()&gt;S53),"open past agreed date; ","")&amp;IF(AB53="Yes","authority or NOC linked; ","")&amp;IF(AG53="Yes","repeat of a previous NCR; ","")&amp;IF(AND(Y53="",AE53&gt;=14),"programme impact 14 days or more; ","")&amp;IF(AND(Y53="",AD53&gt;=100000),"cost impact AED 100,000 or more; ","")&amp;IF(AND(Y53&lt;&gt;"",V53=""),"closed with no verification date; ","")&amp;IF(AND(Y53&lt;&gt;"",X53=""),"closed without a closure certificate; ","")&amp;IF(AND(Y53&lt;&gt;"",Z53&gt;90),"closed more than 90 days after raising; ","")))</f>
        <v/>
      </c>
    </row>
    <row r="54">
      <c r="A54" s="10" t="n"/>
      <c r="B54" s="11" t="n"/>
      <c r="C54" s="12" t="n"/>
      <c r="D54" s="12" t="n"/>
      <c r="E54" s="12" t="n"/>
      <c r="F54" s="13" t="n"/>
      <c r="G54" s="13" t="n"/>
      <c r="H54" s="13" t="n"/>
      <c r="I54" s="13" t="n"/>
      <c r="J54" s="13" t="n"/>
      <c r="K54" s="13" t="n"/>
      <c r="L54" s="13" t="n"/>
      <c r="M54" s="11" t="n"/>
      <c r="N54" s="11" t="n"/>
      <c r="O54" s="12" t="n"/>
      <c r="P54" s="13" t="n"/>
      <c r="Q54" s="13" t="n"/>
      <c r="R54" s="13" t="n"/>
      <c r="S54" s="11" t="n"/>
      <c r="T54" s="11" t="n"/>
      <c r="U54" s="13" t="n"/>
      <c r="V54" s="11" t="n"/>
      <c r="W54" s="12" t="n"/>
      <c r="X54" s="12" t="n"/>
      <c r="Y54" s="11" t="n"/>
      <c r="Z54" s="14">
        <f>IF(A54="","",IF(Y54&lt;&gt;"",Y54-B54,TODAY()-B54))</f>
        <v/>
      </c>
      <c r="AA54" s="14">
        <f>IF(A54="","",IF(AND(Y54="",TODAY()&gt;S54),"OVERDUE",IF(AND(Y54&lt;&gt;"",Y54&gt;S54),"CLOSED LATE","")))</f>
        <v/>
      </c>
      <c r="AB54" s="12" t="n"/>
      <c r="AC54" s="13" t="n"/>
      <c r="AD54" s="21" t="n"/>
      <c r="AE54" s="12" t="n"/>
      <c r="AF54" s="14">
        <f>IF(A54="","",IF(Y54&lt;&gt;"","Closed",IF(TODAY()&gt;S54,"Overdue","Open")))</f>
        <v/>
      </c>
      <c r="AG54" s="12" t="n"/>
      <c r="AH54" s="13" t="n"/>
      <c r="AI54" s="12" t="n"/>
      <c r="AJ54" s="14">
        <f>IF(A54="","",IF(OR(C54="Major",C54="Systemic"),4,IF(C54="Minor",1,0))+IF(AND(Y54="",S54&lt;&gt;"",TODAY()&gt;S54),3,0)+IF(AB54="Yes",3,0)+IF(AG54="Yes",2,0)+IF(AND(Y54="",AE54&gt;=14),2,0)+IF(AND(Y54="",AD54&gt;=100000),2,0)+IF(AND(Y54&lt;&gt;"",V54=""),3,0)+IF(AND(Y54&lt;&gt;"",X54=""),2,0)+IF(AND(Y54&lt;&gt;"",Z54&gt;90),1,0))</f>
        <v/>
      </c>
      <c r="AK54" s="14">
        <f>IF(AJ54="","",IF(AJ54&gt;=10,"CRITICAL",IF(AJ54&gt;=6,"HIGH",IF(AJ54&gt;=3,"WATCH","LOW"))))</f>
        <v/>
      </c>
      <c r="AL54" s="20">
        <f>IF(AJ54="","",TRIM(IF(OR(C54="Major",C54="Systemic"),"major or systemic; ","")&amp;IF(AND(Y54="",S54&lt;&gt;"",TODAY()&gt;S54),"open past agreed date; ","")&amp;IF(AB54="Yes","authority or NOC linked; ","")&amp;IF(AG54="Yes","repeat of a previous NCR; ","")&amp;IF(AND(Y54="",AE54&gt;=14),"programme impact 14 days or more; ","")&amp;IF(AND(Y54="",AD54&gt;=100000),"cost impact AED 100,000 or more; ","")&amp;IF(AND(Y54&lt;&gt;"",V54=""),"closed with no verification date; ","")&amp;IF(AND(Y54&lt;&gt;"",X54=""),"closed without a closure certificate; ","")&amp;IF(AND(Y54&lt;&gt;"",Z54&gt;90),"closed more than 90 days after raising; ","")))</f>
        <v/>
      </c>
    </row>
    <row r="55">
      <c r="A55" s="10" t="n"/>
      <c r="B55" s="11" t="n"/>
      <c r="C55" s="12" t="n"/>
      <c r="D55" s="12" t="n"/>
      <c r="E55" s="12" t="n"/>
      <c r="F55" s="13" t="n"/>
      <c r="G55" s="13" t="n"/>
      <c r="H55" s="13" t="n"/>
      <c r="I55" s="13" t="n"/>
      <c r="J55" s="13" t="n"/>
      <c r="K55" s="13" t="n"/>
      <c r="L55" s="13" t="n"/>
      <c r="M55" s="11" t="n"/>
      <c r="N55" s="11" t="n"/>
      <c r="O55" s="12" t="n"/>
      <c r="P55" s="13" t="n"/>
      <c r="Q55" s="13" t="n"/>
      <c r="R55" s="13" t="n"/>
      <c r="S55" s="11" t="n"/>
      <c r="T55" s="11" t="n"/>
      <c r="U55" s="13" t="n"/>
      <c r="V55" s="11" t="n"/>
      <c r="W55" s="12" t="n"/>
      <c r="X55" s="12" t="n"/>
      <c r="Y55" s="11" t="n"/>
      <c r="Z55" s="14">
        <f>IF(A55="","",IF(Y55&lt;&gt;"",Y55-B55,TODAY()-B55))</f>
        <v/>
      </c>
      <c r="AA55" s="14">
        <f>IF(A55="","",IF(AND(Y55="",TODAY()&gt;S55),"OVERDUE",IF(AND(Y55&lt;&gt;"",Y55&gt;S55),"CLOSED LATE","")))</f>
        <v/>
      </c>
      <c r="AB55" s="12" t="n"/>
      <c r="AC55" s="13" t="n"/>
      <c r="AD55" s="21" t="n"/>
      <c r="AE55" s="12" t="n"/>
      <c r="AF55" s="14">
        <f>IF(A55="","",IF(Y55&lt;&gt;"","Closed",IF(TODAY()&gt;S55,"Overdue","Open")))</f>
        <v/>
      </c>
      <c r="AG55" s="12" t="n"/>
      <c r="AH55" s="13" t="n"/>
      <c r="AI55" s="12" t="n"/>
      <c r="AJ55" s="14">
        <f>IF(A55="","",IF(OR(C55="Major",C55="Systemic"),4,IF(C55="Minor",1,0))+IF(AND(Y55="",S55&lt;&gt;"",TODAY()&gt;S55),3,0)+IF(AB55="Yes",3,0)+IF(AG55="Yes",2,0)+IF(AND(Y55="",AE55&gt;=14),2,0)+IF(AND(Y55="",AD55&gt;=100000),2,0)+IF(AND(Y55&lt;&gt;"",V55=""),3,0)+IF(AND(Y55&lt;&gt;"",X55=""),2,0)+IF(AND(Y55&lt;&gt;"",Z55&gt;90),1,0))</f>
        <v/>
      </c>
      <c r="AK55" s="14">
        <f>IF(AJ55="","",IF(AJ55&gt;=10,"CRITICAL",IF(AJ55&gt;=6,"HIGH",IF(AJ55&gt;=3,"WATCH","LOW"))))</f>
        <v/>
      </c>
      <c r="AL55" s="20">
        <f>IF(AJ55="","",TRIM(IF(OR(C55="Major",C55="Systemic"),"major or systemic; ","")&amp;IF(AND(Y55="",S55&lt;&gt;"",TODAY()&gt;S55),"open past agreed date; ","")&amp;IF(AB55="Yes","authority or NOC linked; ","")&amp;IF(AG55="Yes","repeat of a previous NCR; ","")&amp;IF(AND(Y55="",AE55&gt;=14),"programme impact 14 days or more; ","")&amp;IF(AND(Y55="",AD55&gt;=100000),"cost impact AED 100,000 or more; ","")&amp;IF(AND(Y55&lt;&gt;"",V55=""),"closed with no verification date; ","")&amp;IF(AND(Y55&lt;&gt;"",X55=""),"closed without a closure certificate; ","")&amp;IF(AND(Y55&lt;&gt;"",Z55&gt;90),"closed more than 90 days after raising; ","")))</f>
        <v/>
      </c>
    </row>
    <row r="56">
      <c r="A56" s="10" t="n"/>
      <c r="B56" s="11" t="n"/>
      <c r="C56" s="12" t="n"/>
      <c r="D56" s="12" t="n"/>
      <c r="E56" s="12" t="n"/>
      <c r="F56" s="13" t="n"/>
      <c r="G56" s="13" t="n"/>
      <c r="H56" s="13" t="n"/>
      <c r="I56" s="13" t="n"/>
      <c r="J56" s="13" t="n"/>
      <c r="K56" s="13" t="n"/>
      <c r="L56" s="13" t="n"/>
      <c r="M56" s="11" t="n"/>
      <c r="N56" s="11" t="n"/>
      <c r="O56" s="12" t="n"/>
      <c r="P56" s="13" t="n"/>
      <c r="Q56" s="13" t="n"/>
      <c r="R56" s="13" t="n"/>
      <c r="S56" s="11" t="n"/>
      <c r="T56" s="11" t="n"/>
      <c r="U56" s="13" t="n"/>
      <c r="V56" s="11" t="n"/>
      <c r="W56" s="12" t="n"/>
      <c r="X56" s="12" t="n"/>
      <c r="Y56" s="11" t="n"/>
      <c r="Z56" s="14">
        <f>IF(A56="","",IF(Y56&lt;&gt;"",Y56-B56,TODAY()-B56))</f>
        <v/>
      </c>
      <c r="AA56" s="14">
        <f>IF(A56="","",IF(AND(Y56="",TODAY()&gt;S56),"OVERDUE",IF(AND(Y56&lt;&gt;"",Y56&gt;S56),"CLOSED LATE","")))</f>
        <v/>
      </c>
      <c r="AB56" s="12" t="n"/>
      <c r="AC56" s="13" t="n"/>
      <c r="AD56" s="21" t="n"/>
      <c r="AE56" s="12" t="n"/>
      <c r="AF56" s="14">
        <f>IF(A56="","",IF(Y56&lt;&gt;"","Closed",IF(TODAY()&gt;S56,"Overdue","Open")))</f>
        <v/>
      </c>
      <c r="AG56" s="12" t="n"/>
      <c r="AH56" s="13" t="n"/>
      <c r="AI56" s="12" t="n"/>
      <c r="AJ56" s="14">
        <f>IF(A56="","",IF(OR(C56="Major",C56="Systemic"),4,IF(C56="Minor",1,0))+IF(AND(Y56="",S56&lt;&gt;"",TODAY()&gt;S56),3,0)+IF(AB56="Yes",3,0)+IF(AG56="Yes",2,0)+IF(AND(Y56="",AE56&gt;=14),2,0)+IF(AND(Y56="",AD56&gt;=100000),2,0)+IF(AND(Y56&lt;&gt;"",V56=""),3,0)+IF(AND(Y56&lt;&gt;"",X56=""),2,0)+IF(AND(Y56&lt;&gt;"",Z56&gt;90),1,0))</f>
        <v/>
      </c>
      <c r="AK56" s="14">
        <f>IF(AJ56="","",IF(AJ56&gt;=10,"CRITICAL",IF(AJ56&gt;=6,"HIGH",IF(AJ56&gt;=3,"WATCH","LOW"))))</f>
        <v/>
      </c>
      <c r="AL56" s="20">
        <f>IF(AJ56="","",TRIM(IF(OR(C56="Major",C56="Systemic"),"major or systemic; ","")&amp;IF(AND(Y56="",S56&lt;&gt;"",TODAY()&gt;S56),"open past agreed date; ","")&amp;IF(AB56="Yes","authority or NOC linked; ","")&amp;IF(AG56="Yes","repeat of a previous NCR; ","")&amp;IF(AND(Y56="",AE56&gt;=14),"programme impact 14 days or more; ","")&amp;IF(AND(Y56="",AD56&gt;=100000),"cost impact AED 100,000 or more; ","")&amp;IF(AND(Y56&lt;&gt;"",V56=""),"closed with no verification date; ","")&amp;IF(AND(Y56&lt;&gt;"",X56=""),"closed without a closure certificate; ","")&amp;IF(AND(Y56&lt;&gt;"",Z56&gt;90),"closed more than 90 days after raising; ","")))</f>
        <v/>
      </c>
    </row>
    <row r="57">
      <c r="A57" s="10" t="n"/>
      <c r="B57" s="11" t="n"/>
      <c r="C57" s="12" t="n"/>
      <c r="D57" s="12" t="n"/>
      <c r="E57" s="12" t="n"/>
      <c r="F57" s="13" t="n"/>
      <c r="G57" s="13" t="n"/>
      <c r="H57" s="13" t="n"/>
      <c r="I57" s="13" t="n"/>
      <c r="J57" s="13" t="n"/>
      <c r="K57" s="13" t="n"/>
      <c r="L57" s="13" t="n"/>
      <c r="M57" s="11" t="n"/>
      <c r="N57" s="11" t="n"/>
      <c r="O57" s="12" t="n"/>
      <c r="P57" s="13" t="n"/>
      <c r="Q57" s="13" t="n"/>
      <c r="R57" s="13" t="n"/>
      <c r="S57" s="11" t="n"/>
      <c r="T57" s="11" t="n"/>
      <c r="U57" s="13" t="n"/>
      <c r="V57" s="11" t="n"/>
      <c r="W57" s="12" t="n"/>
      <c r="X57" s="12" t="n"/>
      <c r="Y57" s="11" t="n"/>
      <c r="Z57" s="14">
        <f>IF(A57="","",IF(Y57&lt;&gt;"",Y57-B57,TODAY()-B57))</f>
        <v/>
      </c>
      <c r="AA57" s="14">
        <f>IF(A57="","",IF(AND(Y57="",TODAY()&gt;S57),"OVERDUE",IF(AND(Y57&lt;&gt;"",Y57&gt;S57),"CLOSED LATE","")))</f>
        <v/>
      </c>
      <c r="AB57" s="12" t="n"/>
      <c r="AC57" s="13" t="n"/>
      <c r="AD57" s="21" t="n"/>
      <c r="AE57" s="12" t="n"/>
      <c r="AF57" s="14">
        <f>IF(A57="","",IF(Y57&lt;&gt;"","Closed",IF(TODAY()&gt;S57,"Overdue","Open")))</f>
        <v/>
      </c>
      <c r="AG57" s="12" t="n"/>
      <c r="AH57" s="13" t="n"/>
      <c r="AI57" s="12" t="n"/>
      <c r="AJ57" s="14">
        <f>IF(A57="","",IF(OR(C57="Major",C57="Systemic"),4,IF(C57="Minor",1,0))+IF(AND(Y57="",S57&lt;&gt;"",TODAY()&gt;S57),3,0)+IF(AB57="Yes",3,0)+IF(AG57="Yes",2,0)+IF(AND(Y57="",AE57&gt;=14),2,0)+IF(AND(Y57="",AD57&gt;=100000),2,0)+IF(AND(Y57&lt;&gt;"",V57=""),3,0)+IF(AND(Y57&lt;&gt;"",X57=""),2,0)+IF(AND(Y57&lt;&gt;"",Z57&gt;90),1,0))</f>
        <v/>
      </c>
      <c r="AK57" s="14">
        <f>IF(AJ57="","",IF(AJ57&gt;=10,"CRITICAL",IF(AJ57&gt;=6,"HIGH",IF(AJ57&gt;=3,"WATCH","LOW"))))</f>
        <v/>
      </c>
      <c r="AL57" s="20">
        <f>IF(AJ57="","",TRIM(IF(OR(C57="Major",C57="Systemic"),"major or systemic; ","")&amp;IF(AND(Y57="",S57&lt;&gt;"",TODAY()&gt;S57),"open past agreed date; ","")&amp;IF(AB57="Yes","authority or NOC linked; ","")&amp;IF(AG57="Yes","repeat of a previous NCR; ","")&amp;IF(AND(Y57="",AE57&gt;=14),"programme impact 14 days or more; ","")&amp;IF(AND(Y57="",AD57&gt;=100000),"cost impact AED 100,000 or more; ","")&amp;IF(AND(Y57&lt;&gt;"",V57=""),"closed with no verification date; ","")&amp;IF(AND(Y57&lt;&gt;"",X57=""),"closed without a closure certificate; ","")&amp;IF(AND(Y57&lt;&gt;"",Z57&gt;90),"closed more than 90 days after raising; ","")))</f>
        <v/>
      </c>
    </row>
    <row r="58">
      <c r="A58" s="10" t="n"/>
      <c r="B58" s="11" t="n"/>
      <c r="C58" s="12" t="n"/>
      <c r="D58" s="12" t="n"/>
      <c r="E58" s="12" t="n"/>
      <c r="F58" s="13" t="n"/>
      <c r="G58" s="13" t="n"/>
      <c r="H58" s="13" t="n"/>
      <c r="I58" s="13" t="n"/>
      <c r="J58" s="13" t="n"/>
      <c r="K58" s="13" t="n"/>
      <c r="L58" s="13" t="n"/>
      <c r="M58" s="11" t="n"/>
      <c r="N58" s="11" t="n"/>
      <c r="O58" s="12" t="n"/>
      <c r="P58" s="13" t="n"/>
      <c r="Q58" s="13" t="n"/>
      <c r="R58" s="13" t="n"/>
      <c r="S58" s="11" t="n"/>
      <c r="T58" s="11" t="n"/>
      <c r="U58" s="13" t="n"/>
      <c r="V58" s="11" t="n"/>
      <c r="W58" s="12" t="n"/>
      <c r="X58" s="12" t="n"/>
      <c r="Y58" s="11" t="n"/>
      <c r="Z58" s="14">
        <f>IF(A58="","",IF(Y58&lt;&gt;"",Y58-B58,TODAY()-B58))</f>
        <v/>
      </c>
      <c r="AA58" s="14">
        <f>IF(A58="","",IF(AND(Y58="",TODAY()&gt;S58),"OVERDUE",IF(AND(Y58&lt;&gt;"",Y58&gt;S58),"CLOSED LATE","")))</f>
        <v/>
      </c>
      <c r="AB58" s="12" t="n"/>
      <c r="AC58" s="13" t="n"/>
      <c r="AD58" s="21" t="n"/>
      <c r="AE58" s="12" t="n"/>
      <c r="AF58" s="14">
        <f>IF(A58="","",IF(Y58&lt;&gt;"","Closed",IF(TODAY()&gt;S58,"Overdue","Open")))</f>
        <v/>
      </c>
      <c r="AG58" s="12" t="n"/>
      <c r="AH58" s="13" t="n"/>
      <c r="AI58" s="12" t="n"/>
      <c r="AJ58" s="14">
        <f>IF(A58="","",IF(OR(C58="Major",C58="Systemic"),4,IF(C58="Minor",1,0))+IF(AND(Y58="",S58&lt;&gt;"",TODAY()&gt;S58),3,0)+IF(AB58="Yes",3,0)+IF(AG58="Yes",2,0)+IF(AND(Y58="",AE58&gt;=14),2,0)+IF(AND(Y58="",AD58&gt;=100000),2,0)+IF(AND(Y58&lt;&gt;"",V58=""),3,0)+IF(AND(Y58&lt;&gt;"",X58=""),2,0)+IF(AND(Y58&lt;&gt;"",Z58&gt;90),1,0))</f>
        <v/>
      </c>
      <c r="AK58" s="14">
        <f>IF(AJ58="","",IF(AJ58&gt;=10,"CRITICAL",IF(AJ58&gt;=6,"HIGH",IF(AJ58&gt;=3,"WATCH","LOW"))))</f>
        <v/>
      </c>
      <c r="AL58" s="20">
        <f>IF(AJ58="","",TRIM(IF(OR(C58="Major",C58="Systemic"),"major or systemic; ","")&amp;IF(AND(Y58="",S58&lt;&gt;"",TODAY()&gt;S58),"open past agreed date; ","")&amp;IF(AB58="Yes","authority or NOC linked; ","")&amp;IF(AG58="Yes","repeat of a previous NCR; ","")&amp;IF(AND(Y58="",AE58&gt;=14),"programme impact 14 days or more; ","")&amp;IF(AND(Y58="",AD58&gt;=100000),"cost impact AED 100,000 or more; ","")&amp;IF(AND(Y58&lt;&gt;"",V58=""),"closed with no verification date; ","")&amp;IF(AND(Y58&lt;&gt;"",X58=""),"closed without a closure certificate; ","")&amp;IF(AND(Y58&lt;&gt;"",Z58&gt;90),"closed more than 90 days after raising; ","")))</f>
        <v/>
      </c>
    </row>
    <row r="59">
      <c r="A59" s="10" t="n"/>
      <c r="B59" s="11" t="n"/>
      <c r="C59" s="12" t="n"/>
      <c r="D59" s="12" t="n"/>
      <c r="E59" s="12" t="n"/>
      <c r="F59" s="13" t="n"/>
      <c r="G59" s="13" t="n"/>
      <c r="H59" s="13" t="n"/>
      <c r="I59" s="13" t="n"/>
      <c r="J59" s="13" t="n"/>
      <c r="K59" s="13" t="n"/>
      <c r="L59" s="13" t="n"/>
      <c r="M59" s="11" t="n"/>
      <c r="N59" s="11" t="n"/>
      <c r="O59" s="12" t="n"/>
      <c r="P59" s="13" t="n"/>
      <c r="Q59" s="13" t="n"/>
      <c r="R59" s="13" t="n"/>
      <c r="S59" s="11" t="n"/>
      <c r="T59" s="11" t="n"/>
      <c r="U59" s="13" t="n"/>
      <c r="V59" s="11" t="n"/>
      <c r="W59" s="12" t="n"/>
      <c r="X59" s="12" t="n"/>
      <c r="Y59" s="11" t="n"/>
      <c r="Z59" s="14">
        <f>IF(A59="","",IF(Y59&lt;&gt;"",Y59-B59,TODAY()-B59))</f>
        <v/>
      </c>
      <c r="AA59" s="14">
        <f>IF(A59="","",IF(AND(Y59="",TODAY()&gt;S59),"OVERDUE",IF(AND(Y59&lt;&gt;"",Y59&gt;S59),"CLOSED LATE","")))</f>
        <v/>
      </c>
      <c r="AB59" s="12" t="n"/>
      <c r="AC59" s="13" t="n"/>
      <c r="AD59" s="21" t="n"/>
      <c r="AE59" s="12" t="n"/>
      <c r="AF59" s="14">
        <f>IF(A59="","",IF(Y59&lt;&gt;"","Closed",IF(TODAY()&gt;S59,"Overdue","Open")))</f>
        <v/>
      </c>
      <c r="AG59" s="12" t="n"/>
      <c r="AH59" s="13" t="n"/>
      <c r="AI59" s="12" t="n"/>
      <c r="AJ59" s="14">
        <f>IF(A59="","",IF(OR(C59="Major",C59="Systemic"),4,IF(C59="Minor",1,0))+IF(AND(Y59="",S59&lt;&gt;"",TODAY()&gt;S59),3,0)+IF(AB59="Yes",3,0)+IF(AG59="Yes",2,0)+IF(AND(Y59="",AE59&gt;=14),2,0)+IF(AND(Y59="",AD59&gt;=100000),2,0)+IF(AND(Y59&lt;&gt;"",V59=""),3,0)+IF(AND(Y59&lt;&gt;"",X59=""),2,0)+IF(AND(Y59&lt;&gt;"",Z59&gt;90),1,0))</f>
        <v/>
      </c>
      <c r="AK59" s="14">
        <f>IF(AJ59="","",IF(AJ59&gt;=10,"CRITICAL",IF(AJ59&gt;=6,"HIGH",IF(AJ59&gt;=3,"WATCH","LOW"))))</f>
        <v/>
      </c>
      <c r="AL59" s="20">
        <f>IF(AJ59="","",TRIM(IF(OR(C59="Major",C59="Systemic"),"major or systemic; ","")&amp;IF(AND(Y59="",S59&lt;&gt;"",TODAY()&gt;S59),"open past agreed date; ","")&amp;IF(AB59="Yes","authority or NOC linked; ","")&amp;IF(AG59="Yes","repeat of a previous NCR; ","")&amp;IF(AND(Y59="",AE59&gt;=14),"programme impact 14 days or more; ","")&amp;IF(AND(Y59="",AD59&gt;=100000),"cost impact AED 100,000 or more; ","")&amp;IF(AND(Y59&lt;&gt;"",V59=""),"closed with no verification date; ","")&amp;IF(AND(Y59&lt;&gt;"",X59=""),"closed without a closure certificate; ","")&amp;IF(AND(Y59&lt;&gt;"",Z59&gt;90),"closed more than 90 days after raising; ","")))</f>
        <v/>
      </c>
    </row>
    <row r="60">
      <c r="A60" s="10" t="n"/>
      <c r="B60" s="11" t="n"/>
      <c r="C60" s="12" t="n"/>
      <c r="D60" s="12" t="n"/>
      <c r="E60" s="12" t="n"/>
      <c r="F60" s="13" t="n"/>
      <c r="G60" s="13" t="n"/>
      <c r="H60" s="13" t="n"/>
      <c r="I60" s="13" t="n"/>
      <c r="J60" s="13" t="n"/>
      <c r="K60" s="13" t="n"/>
      <c r="L60" s="13" t="n"/>
      <c r="M60" s="11" t="n"/>
      <c r="N60" s="11" t="n"/>
      <c r="O60" s="12" t="n"/>
      <c r="P60" s="13" t="n"/>
      <c r="Q60" s="13" t="n"/>
      <c r="R60" s="13" t="n"/>
      <c r="S60" s="11" t="n"/>
      <c r="T60" s="11" t="n"/>
      <c r="U60" s="13" t="n"/>
      <c r="V60" s="11" t="n"/>
      <c r="W60" s="12" t="n"/>
      <c r="X60" s="12" t="n"/>
      <c r="Y60" s="11" t="n"/>
      <c r="Z60" s="14">
        <f>IF(A60="","",IF(Y60&lt;&gt;"",Y60-B60,TODAY()-B60))</f>
        <v/>
      </c>
      <c r="AA60" s="14">
        <f>IF(A60="","",IF(AND(Y60="",TODAY()&gt;S60),"OVERDUE",IF(AND(Y60&lt;&gt;"",Y60&gt;S60),"CLOSED LATE","")))</f>
        <v/>
      </c>
      <c r="AB60" s="12" t="n"/>
      <c r="AC60" s="13" t="n"/>
      <c r="AD60" s="21" t="n"/>
      <c r="AE60" s="12" t="n"/>
      <c r="AF60" s="14">
        <f>IF(A60="","",IF(Y60&lt;&gt;"","Closed",IF(TODAY()&gt;S60,"Overdue","Open")))</f>
        <v/>
      </c>
      <c r="AG60" s="12" t="n"/>
      <c r="AH60" s="13" t="n"/>
      <c r="AI60" s="12" t="n"/>
      <c r="AJ60" s="14">
        <f>IF(A60="","",IF(OR(C60="Major",C60="Systemic"),4,IF(C60="Minor",1,0))+IF(AND(Y60="",S60&lt;&gt;"",TODAY()&gt;S60),3,0)+IF(AB60="Yes",3,0)+IF(AG60="Yes",2,0)+IF(AND(Y60="",AE60&gt;=14),2,0)+IF(AND(Y60="",AD60&gt;=100000),2,0)+IF(AND(Y60&lt;&gt;"",V60=""),3,0)+IF(AND(Y60&lt;&gt;"",X60=""),2,0)+IF(AND(Y60&lt;&gt;"",Z60&gt;90),1,0))</f>
        <v/>
      </c>
      <c r="AK60" s="14">
        <f>IF(AJ60="","",IF(AJ60&gt;=10,"CRITICAL",IF(AJ60&gt;=6,"HIGH",IF(AJ60&gt;=3,"WATCH","LOW"))))</f>
        <v/>
      </c>
      <c r="AL60" s="20">
        <f>IF(AJ60="","",TRIM(IF(OR(C60="Major",C60="Systemic"),"major or systemic; ","")&amp;IF(AND(Y60="",S60&lt;&gt;"",TODAY()&gt;S60),"open past agreed date; ","")&amp;IF(AB60="Yes","authority or NOC linked; ","")&amp;IF(AG60="Yes","repeat of a previous NCR; ","")&amp;IF(AND(Y60="",AE60&gt;=14),"programme impact 14 days or more; ","")&amp;IF(AND(Y60="",AD60&gt;=100000),"cost impact AED 100,000 or more; ","")&amp;IF(AND(Y60&lt;&gt;"",V60=""),"closed with no verification date; ","")&amp;IF(AND(Y60&lt;&gt;"",X60=""),"closed without a closure certificate; ","")&amp;IF(AND(Y60&lt;&gt;"",Z60&gt;90),"closed more than 90 days after raising; ","")))</f>
        <v/>
      </c>
    </row>
    <row r="61">
      <c r="A61" s="10" t="n"/>
      <c r="B61" s="11" t="n"/>
      <c r="C61" s="12" t="n"/>
      <c r="D61" s="12" t="n"/>
      <c r="E61" s="12" t="n"/>
      <c r="F61" s="13" t="n"/>
      <c r="G61" s="13" t="n"/>
      <c r="H61" s="13" t="n"/>
      <c r="I61" s="13" t="n"/>
      <c r="J61" s="13" t="n"/>
      <c r="K61" s="13" t="n"/>
      <c r="L61" s="13" t="n"/>
      <c r="M61" s="11" t="n"/>
      <c r="N61" s="11" t="n"/>
      <c r="O61" s="12" t="n"/>
      <c r="P61" s="13" t="n"/>
      <c r="Q61" s="13" t="n"/>
      <c r="R61" s="13" t="n"/>
      <c r="S61" s="11" t="n"/>
      <c r="T61" s="11" t="n"/>
      <c r="U61" s="13" t="n"/>
      <c r="V61" s="11" t="n"/>
      <c r="W61" s="12" t="n"/>
      <c r="X61" s="12" t="n"/>
      <c r="Y61" s="11" t="n"/>
      <c r="Z61" s="14">
        <f>IF(A61="","",IF(Y61&lt;&gt;"",Y61-B61,TODAY()-B61))</f>
        <v/>
      </c>
      <c r="AA61" s="14">
        <f>IF(A61="","",IF(AND(Y61="",TODAY()&gt;S61),"OVERDUE",IF(AND(Y61&lt;&gt;"",Y61&gt;S61),"CLOSED LATE","")))</f>
        <v/>
      </c>
      <c r="AB61" s="12" t="n"/>
      <c r="AC61" s="13" t="n"/>
      <c r="AD61" s="21" t="n"/>
      <c r="AE61" s="12" t="n"/>
      <c r="AF61" s="14">
        <f>IF(A61="","",IF(Y61&lt;&gt;"","Closed",IF(TODAY()&gt;S61,"Overdue","Open")))</f>
        <v/>
      </c>
      <c r="AG61" s="12" t="n"/>
      <c r="AH61" s="13" t="n"/>
      <c r="AI61" s="12" t="n"/>
      <c r="AJ61" s="14">
        <f>IF(A61="","",IF(OR(C61="Major",C61="Systemic"),4,IF(C61="Minor",1,0))+IF(AND(Y61="",S61&lt;&gt;"",TODAY()&gt;S61),3,0)+IF(AB61="Yes",3,0)+IF(AG61="Yes",2,0)+IF(AND(Y61="",AE61&gt;=14),2,0)+IF(AND(Y61="",AD61&gt;=100000),2,0)+IF(AND(Y61&lt;&gt;"",V61=""),3,0)+IF(AND(Y61&lt;&gt;"",X61=""),2,0)+IF(AND(Y61&lt;&gt;"",Z61&gt;90),1,0))</f>
        <v/>
      </c>
      <c r="AK61" s="14">
        <f>IF(AJ61="","",IF(AJ61&gt;=10,"CRITICAL",IF(AJ61&gt;=6,"HIGH",IF(AJ61&gt;=3,"WATCH","LOW"))))</f>
        <v/>
      </c>
      <c r="AL61" s="20">
        <f>IF(AJ61="","",TRIM(IF(OR(C61="Major",C61="Systemic"),"major or systemic; ","")&amp;IF(AND(Y61="",S61&lt;&gt;"",TODAY()&gt;S61),"open past agreed date; ","")&amp;IF(AB61="Yes","authority or NOC linked; ","")&amp;IF(AG61="Yes","repeat of a previous NCR; ","")&amp;IF(AND(Y61="",AE61&gt;=14),"programme impact 14 days or more; ","")&amp;IF(AND(Y61="",AD61&gt;=100000),"cost impact AED 100,000 or more; ","")&amp;IF(AND(Y61&lt;&gt;"",V61=""),"closed with no verification date; ","")&amp;IF(AND(Y61&lt;&gt;"",X61=""),"closed without a closure certificate; ","")&amp;IF(AND(Y61&lt;&gt;"",Z61&gt;90),"closed more than 90 days after raising; ","")))</f>
        <v/>
      </c>
    </row>
    <row r="62">
      <c r="A62" s="10" t="n"/>
      <c r="B62" s="11" t="n"/>
      <c r="C62" s="12" t="n"/>
      <c r="D62" s="12" t="n"/>
      <c r="E62" s="12" t="n"/>
      <c r="F62" s="13" t="n"/>
      <c r="G62" s="13" t="n"/>
      <c r="H62" s="13" t="n"/>
      <c r="I62" s="13" t="n"/>
      <c r="J62" s="13" t="n"/>
      <c r="K62" s="13" t="n"/>
      <c r="L62" s="13" t="n"/>
      <c r="M62" s="11" t="n"/>
      <c r="N62" s="11" t="n"/>
      <c r="O62" s="12" t="n"/>
      <c r="P62" s="13" t="n"/>
      <c r="Q62" s="13" t="n"/>
      <c r="R62" s="13" t="n"/>
      <c r="S62" s="11" t="n"/>
      <c r="T62" s="11" t="n"/>
      <c r="U62" s="13" t="n"/>
      <c r="V62" s="11" t="n"/>
      <c r="W62" s="12" t="n"/>
      <c r="X62" s="12" t="n"/>
      <c r="Y62" s="11" t="n"/>
      <c r="Z62" s="14">
        <f>IF(A62="","",IF(Y62&lt;&gt;"",Y62-B62,TODAY()-B62))</f>
        <v/>
      </c>
      <c r="AA62" s="14">
        <f>IF(A62="","",IF(AND(Y62="",TODAY()&gt;S62),"OVERDUE",IF(AND(Y62&lt;&gt;"",Y62&gt;S62),"CLOSED LATE","")))</f>
        <v/>
      </c>
      <c r="AB62" s="12" t="n"/>
      <c r="AC62" s="13" t="n"/>
      <c r="AD62" s="21" t="n"/>
      <c r="AE62" s="12" t="n"/>
      <c r="AF62" s="14">
        <f>IF(A62="","",IF(Y62&lt;&gt;"","Closed",IF(TODAY()&gt;S62,"Overdue","Open")))</f>
        <v/>
      </c>
      <c r="AG62" s="12" t="n"/>
      <c r="AH62" s="13" t="n"/>
      <c r="AI62" s="12" t="n"/>
      <c r="AJ62" s="14">
        <f>IF(A62="","",IF(OR(C62="Major",C62="Systemic"),4,IF(C62="Minor",1,0))+IF(AND(Y62="",S62&lt;&gt;"",TODAY()&gt;S62),3,0)+IF(AB62="Yes",3,0)+IF(AG62="Yes",2,0)+IF(AND(Y62="",AE62&gt;=14),2,0)+IF(AND(Y62="",AD62&gt;=100000),2,0)+IF(AND(Y62&lt;&gt;"",V62=""),3,0)+IF(AND(Y62&lt;&gt;"",X62=""),2,0)+IF(AND(Y62&lt;&gt;"",Z62&gt;90),1,0))</f>
        <v/>
      </c>
      <c r="AK62" s="14">
        <f>IF(AJ62="","",IF(AJ62&gt;=10,"CRITICAL",IF(AJ62&gt;=6,"HIGH",IF(AJ62&gt;=3,"WATCH","LOW"))))</f>
        <v/>
      </c>
      <c r="AL62" s="20">
        <f>IF(AJ62="","",TRIM(IF(OR(C62="Major",C62="Systemic"),"major or systemic; ","")&amp;IF(AND(Y62="",S62&lt;&gt;"",TODAY()&gt;S62),"open past agreed date; ","")&amp;IF(AB62="Yes","authority or NOC linked; ","")&amp;IF(AG62="Yes","repeat of a previous NCR; ","")&amp;IF(AND(Y62="",AE62&gt;=14),"programme impact 14 days or more; ","")&amp;IF(AND(Y62="",AD62&gt;=100000),"cost impact AED 100,000 or more; ","")&amp;IF(AND(Y62&lt;&gt;"",V62=""),"closed with no verification date; ","")&amp;IF(AND(Y62&lt;&gt;"",X62=""),"closed without a closure certificate; ","")&amp;IF(AND(Y62&lt;&gt;"",Z62&gt;90),"closed more than 90 days after raising; ","")))</f>
        <v/>
      </c>
    </row>
    <row r="63">
      <c r="A63" s="10" t="n"/>
      <c r="B63" s="11" t="n"/>
      <c r="C63" s="12" t="n"/>
      <c r="D63" s="12" t="n"/>
      <c r="E63" s="12" t="n"/>
      <c r="F63" s="13" t="n"/>
      <c r="G63" s="13" t="n"/>
      <c r="H63" s="13" t="n"/>
      <c r="I63" s="13" t="n"/>
      <c r="J63" s="13" t="n"/>
      <c r="K63" s="13" t="n"/>
      <c r="L63" s="13" t="n"/>
      <c r="M63" s="11" t="n"/>
      <c r="N63" s="11" t="n"/>
      <c r="O63" s="12" t="n"/>
      <c r="P63" s="13" t="n"/>
      <c r="Q63" s="13" t="n"/>
      <c r="R63" s="13" t="n"/>
      <c r="S63" s="11" t="n"/>
      <c r="T63" s="11" t="n"/>
      <c r="U63" s="13" t="n"/>
      <c r="V63" s="11" t="n"/>
      <c r="W63" s="12" t="n"/>
      <c r="X63" s="12" t="n"/>
      <c r="Y63" s="11" t="n"/>
      <c r="Z63" s="14">
        <f>IF(A63="","",IF(Y63&lt;&gt;"",Y63-B63,TODAY()-B63))</f>
        <v/>
      </c>
      <c r="AA63" s="14">
        <f>IF(A63="","",IF(AND(Y63="",TODAY()&gt;S63),"OVERDUE",IF(AND(Y63&lt;&gt;"",Y63&gt;S63),"CLOSED LATE","")))</f>
        <v/>
      </c>
      <c r="AB63" s="12" t="n"/>
      <c r="AC63" s="13" t="n"/>
      <c r="AD63" s="21" t="n"/>
      <c r="AE63" s="12" t="n"/>
      <c r="AF63" s="14">
        <f>IF(A63="","",IF(Y63&lt;&gt;"","Closed",IF(TODAY()&gt;S63,"Overdue","Open")))</f>
        <v/>
      </c>
      <c r="AG63" s="12" t="n"/>
      <c r="AH63" s="13" t="n"/>
      <c r="AI63" s="12" t="n"/>
      <c r="AJ63" s="14">
        <f>IF(A63="","",IF(OR(C63="Major",C63="Systemic"),4,IF(C63="Minor",1,0))+IF(AND(Y63="",S63&lt;&gt;"",TODAY()&gt;S63),3,0)+IF(AB63="Yes",3,0)+IF(AG63="Yes",2,0)+IF(AND(Y63="",AE63&gt;=14),2,0)+IF(AND(Y63="",AD63&gt;=100000),2,0)+IF(AND(Y63&lt;&gt;"",V63=""),3,0)+IF(AND(Y63&lt;&gt;"",X63=""),2,0)+IF(AND(Y63&lt;&gt;"",Z63&gt;90),1,0))</f>
        <v/>
      </c>
      <c r="AK63" s="14">
        <f>IF(AJ63="","",IF(AJ63&gt;=10,"CRITICAL",IF(AJ63&gt;=6,"HIGH",IF(AJ63&gt;=3,"WATCH","LOW"))))</f>
        <v/>
      </c>
      <c r="AL63" s="20">
        <f>IF(AJ63="","",TRIM(IF(OR(C63="Major",C63="Systemic"),"major or systemic; ","")&amp;IF(AND(Y63="",S63&lt;&gt;"",TODAY()&gt;S63),"open past agreed date; ","")&amp;IF(AB63="Yes","authority or NOC linked; ","")&amp;IF(AG63="Yes","repeat of a previous NCR; ","")&amp;IF(AND(Y63="",AE63&gt;=14),"programme impact 14 days or more; ","")&amp;IF(AND(Y63="",AD63&gt;=100000),"cost impact AED 100,000 or more; ","")&amp;IF(AND(Y63&lt;&gt;"",V63=""),"closed with no verification date; ","")&amp;IF(AND(Y63&lt;&gt;"",X63=""),"closed without a closure certificate; ","")&amp;IF(AND(Y63&lt;&gt;"",Z63&gt;90),"closed more than 90 days after raising; ","")))</f>
        <v/>
      </c>
    </row>
    <row r="64">
      <c r="A64" s="10" t="n"/>
      <c r="B64" s="11" t="n"/>
      <c r="C64" s="12" t="n"/>
      <c r="D64" s="12" t="n"/>
      <c r="E64" s="12" t="n"/>
      <c r="F64" s="13" t="n"/>
      <c r="G64" s="13" t="n"/>
      <c r="H64" s="13" t="n"/>
      <c r="I64" s="13" t="n"/>
      <c r="J64" s="13" t="n"/>
      <c r="K64" s="13" t="n"/>
      <c r="L64" s="13" t="n"/>
      <c r="M64" s="11" t="n"/>
      <c r="N64" s="11" t="n"/>
      <c r="O64" s="12" t="n"/>
      <c r="P64" s="13" t="n"/>
      <c r="Q64" s="13" t="n"/>
      <c r="R64" s="13" t="n"/>
      <c r="S64" s="11" t="n"/>
      <c r="T64" s="11" t="n"/>
      <c r="U64" s="13" t="n"/>
      <c r="V64" s="11" t="n"/>
      <c r="W64" s="12" t="n"/>
      <c r="X64" s="12" t="n"/>
      <c r="Y64" s="11" t="n"/>
      <c r="Z64" s="14">
        <f>IF(A64="","",IF(Y64&lt;&gt;"",Y64-B64,TODAY()-B64))</f>
        <v/>
      </c>
      <c r="AA64" s="14">
        <f>IF(A64="","",IF(AND(Y64="",TODAY()&gt;S64),"OVERDUE",IF(AND(Y64&lt;&gt;"",Y64&gt;S64),"CLOSED LATE","")))</f>
        <v/>
      </c>
      <c r="AB64" s="12" t="n"/>
      <c r="AC64" s="13" t="n"/>
      <c r="AD64" s="21" t="n"/>
      <c r="AE64" s="12" t="n"/>
      <c r="AF64" s="14">
        <f>IF(A64="","",IF(Y64&lt;&gt;"","Closed",IF(TODAY()&gt;S64,"Overdue","Open")))</f>
        <v/>
      </c>
      <c r="AG64" s="12" t="n"/>
      <c r="AH64" s="13" t="n"/>
      <c r="AI64" s="12" t="n"/>
      <c r="AJ64" s="14">
        <f>IF(A64="","",IF(OR(C64="Major",C64="Systemic"),4,IF(C64="Minor",1,0))+IF(AND(Y64="",S64&lt;&gt;"",TODAY()&gt;S64),3,0)+IF(AB64="Yes",3,0)+IF(AG64="Yes",2,0)+IF(AND(Y64="",AE64&gt;=14),2,0)+IF(AND(Y64="",AD64&gt;=100000),2,0)+IF(AND(Y64&lt;&gt;"",V64=""),3,0)+IF(AND(Y64&lt;&gt;"",X64=""),2,0)+IF(AND(Y64&lt;&gt;"",Z64&gt;90),1,0))</f>
        <v/>
      </c>
      <c r="AK64" s="14">
        <f>IF(AJ64="","",IF(AJ64&gt;=10,"CRITICAL",IF(AJ64&gt;=6,"HIGH",IF(AJ64&gt;=3,"WATCH","LOW"))))</f>
        <v/>
      </c>
      <c r="AL64" s="20">
        <f>IF(AJ64="","",TRIM(IF(OR(C64="Major",C64="Systemic"),"major or systemic; ","")&amp;IF(AND(Y64="",S64&lt;&gt;"",TODAY()&gt;S64),"open past agreed date; ","")&amp;IF(AB64="Yes","authority or NOC linked; ","")&amp;IF(AG64="Yes","repeat of a previous NCR; ","")&amp;IF(AND(Y64="",AE64&gt;=14),"programme impact 14 days or more; ","")&amp;IF(AND(Y64="",AD64&gt;=100000),"cost impact AED 100,000 or more; ","")&amp;IF(AND(Y64&lt;&gt;"",V64=""),"closed with no verification date; ","")&amp;IF(AND(Y64&lt;&gt;"",X64=""),"closed without a closure certificate; ","")&amp;IF(AND(Y64&lt;&gt;"",Z64&gt;90),"closed more than 90 days after raising; ","")))</f>
        <v/>
      </c>
    </row>
    <row r="65">
      <c r="A65" s="10" t="n"/>
      <c r="B65" s="11" t="n"/>
      <c r="C65" s="12" t="n"/>
      <c r="D65" s="12" t="n"/>
      <c r="E65" s="12" t="n"/>
      <c r="F65" s="13" t="n"/>
      <c r="G65" s="13" t="n"/>
      <c r="H65" s="13" t="n"/>
      <c r="I65" s="13" t="n"/>
      <c r="J65" s="13" t="n"/>
      <c r="K65" s="13" t="n"/>
      <c r="L65" s="13" t="n"/>
      <c r="M65" s="11" t="n"/>
      <c r="N65" s="11" t="n"/>
      <c r="O65" s="12" t="n"/>
      <c r="P65" s="13" t="n"/>
      <c r="Q65" s="13" t="n"/>
      <c r="R65" s="13" t="n"/>
      <c r="S65" s="11" t="n"/>
      <c r="T65" s="11" t="n"/>
      <c r="U65" s="13" t="n"/>
      <c r="V65" s="11" t="n"/>
      <c r="W65" s="12" t="n"/>
      <c r="X65" s="12" t="n"/>
      <c r="Y65" s="11" t="n"/>
      <c r="Z65" s="14">
        <f>IF(A65="","",IF(Y65&lt;&gt;"",Y65-B65,TODAY()-B65))</f>
        <v/>
      </c>
      <c r="AA65" s="14">
        <f>IF(A65="","",IF(AND(Y65="",TODAY()&gt;S65),"OVERDUE",IF(AND(Y65&lt;&gt;"",Y65&gt;S65),"CLOSED LATE","")))</f>
        <v/>
      </c>
      <c r="AB65" s="12" t="n"/>
      <c r="AC65" s="13" t="n"/>
      <c r="AD65" s="21" t="n"/>
      <c r="AE65" s="12" t="n"/>
      <c r="AF65" s="14">
        <f>IF(A65="","",IF(Y65&lt;&gt;"","Closed",IF(TODAY()&gt;S65,"Overdue","Open")))</f>
        <v/>
      </c>
      <c r="AG65" s="12" t="n"/>
      <c r="AH65" s="13" t="n"/>
      <c r="AI65" s="12" t="n"/>
      <c r="AJ65" s="14">
        <f>IF(A65="","",IF(OR(C65="Major",C65="Systemic"),4,IF(C65="Minor",1,0))+IF(AND(Y65="",S65&lt;&gt;"",TODAY()&gt;S65),3,0)+IF(AB65="Yes",3,0)+IF(AG65="Yes",2,0)+IF(AND(Y65="",AE65&gt;=14),2,0)+IF(AND(Y65="",AD65&gt;=100000),2,0)+IF(AND(Y65&lt;&gt;"",V65=""),3,0)+IF(AND(Y65&lt;&gt;"",X65=""),2,0)+IF(AND(Y65&lt;&gt;"",Z65&gt;90),1,0))</f>
        <v/>
      </c>
      <c r="AK65" s="14">
        <f>IF(AJ65="","",IF(AJ65&gt;=10,"CRITICAL",IF(AJ65&gt;=6,"HIGH",IF(AJ65&gt;=3,"WATCH","LOW"))))</f>
        <v/>
      </c>
      <c r="AL65" s="20">
        <f>IF(AJ65="","",TRIM(IF(OR(C65="Major",C65="Systemic"),"major or systemic; ","")&amp;IF(AND(Y65="",S65&lt;&gt;"",TODAY()&gt;S65),"open past agreed date; ","")&amp;IF(AB65="Yes","authority or NOC linked; ","")&amp;IF(AG65="Yes","repeat of a previous NCR; ","")&amp;IF(AND(Y65="",AE65&gt;=14),"programme impact 14 days or more; ","")&amp;IF(AND(Y65="",AD65&gt;=100000),"cost impact AED 100,000 or more; ","")&amp;IF(AND(Y65&lt;&gt;"",V65=""),"closed with no verification date; ","")&amp;IF(AND(Y65&lt;&gt;"",X65=""),"closed without a closure certificate; ","")&amp;IF(AND(Y65&lt;&gt;"",Z65&gt;90),"closed more than 90 days after raising; ","")))</f>
        <v/>
      </c>
    </row>
    <row r="66">
      <c r="A66" s="10" t="n"/>
      <c r="B66" s="11" t="n"/>
      <c r="C66" s="12" t="n"/>
      <c r="D66" s="12" t="n"/>
      <c r="E66" s="12" t="n"/>
      <c r="F66" s="13" t="n"/>
      <c r="G66" s="13" t="n"/>
      <c r="H66" s="13" t="n"/>
      <c r="I66" s="13" t="n"/>
      <c r="J66" s="13" t="n"/>
      <c r="K66" s="13" t="n"/>
      <c r="L66" s="13" t="n"/>
      <c r="M66" s="11" t="n"/>
      <c r="N66" s="11" t="n"/>
      <c r="O66" s="12" t="n"/>
      <c r="P66" s="13" t="n"/>
      <c r="Q66" s="13" t="n"/>
      <c r="R66" s="13" t="n"/>
      <c r="S66" s="11" t="n"/>
      <c r="T66" s="11" t="n"/>
      <c r="U66" s="13" t="n"/>
      <c r="V66" s="11" t="n"/>
      <c r="W66" s="12" t="n"/>
      <c r="X66" s="12" t="n"/>
      <c r="Y66" s="11" t="n"/>
      <c r="Z66" s="14">
        <f>IF(A66="","",IF(Y66&lt;&gt;"",Y66-B66,TODAY()-B66))</f>
        <v/>
      </c>
      <c r="AA66" s="14">
        <f>IF(A66="","",IF(AND(Y66="",TODAY()&gt;S66),"OVERDUE",IF(AND(Y66&lt;&gt;"",Y66&gt;S66),"CLOSED LATE","")))</f>
        <v/>
      </c>
      <c r="AB66" s="12" t="n"/>
      <c r="AC66" s="13" t="n"/>
      <c r="AD66" s="21" t="n"/>
      <c r="AE66" s="12" t="n"/>
      <c r="AF66" s="14">
        <f>IF(A66="","",IF(Y66&lt;&gt;"","Closed",IF(TODAY()&gt;S66,"Overdue","Open")))</f>
        <v/>
      </c>
      <c r="AG66" s="12" t="n"/>
      <c r="AH66" s="13" t="n"/>
      <c r="AI66" s="12" t="n"/>
      <c r="AJ66" s="14">
        <f>IF(A66="","",IF(OR(C66="Major",C66="Systemic"),4,IF(C66="Minor",1,0))+IF(AND(Y66="",S66&lt;&gt;"",TODAY()&gt;S66),3,0)+IF(AB66="Yes",3,0)+IF(AG66="Yes",2,0)+IF(AND(Y66="",AE66&gt;=14),2,0)+IF(AND(Y66="",AD66&gt;=100000),2,0)+IF(AND(Y66&lt;&gt;"",V66=""),3,0)+IF(AND(Y66&lt;&gt;"",X66=""),2,0)+IF(AND(Y66&lt;&gt;"",Z66&gt;90),1,0))</f>
        <v/>
      </c>
      <c r="AK66" s="14">
        <f>IF(AJ66="","",IF(AJ66&gt;=10,"CRITICAL",IF(AJ66&gt;=6,"HIGH",IF(AJ66&gt;=3,"WATCH","LOW"))))</f>
        <v/>
      </c>
      <c r="AL66" s="20">
        <f>IF(AJ66="","",TRIM(IF(OR(C66="Major",C66="Systemic"),"major or systemic; ","")&amp;IF(AND(Y66="",S66&lt;&gt;"",TODAY()&gt;S66),"open past agreed date; ","")&amp;IF(AB66="Yes","authority or NOC linked; ","")&amp;IF(AG66="Yes","repeat of a previous NCR; ","")&amp;IF(AND(Y66="",AE66&gt;=14),"programme impact 14 days or more; ","")&amp;IF(AND(Y66="",AD66&gt;=100000),"cost impact AED 100,000 or more; ","")&amp;IF(AND(Y66&lt;&gt;"",V66=""),"closed with no verification date; ","")&amp;IF(AND(Y66&lt;&gt;"",X66=""),"closed without a closure certificate; ","")&amp;IF(AND(Y66&lt;&gt;"",Z66&gt;90),"closed more than 90 days after raising; ","")))</f>
        <v/>
      </c>
    </row>
    <row r="67">
      <c r="A67" s="10" t="n"/>
      <c r="B67" s="11" t="n"/>
      <c r="C67" s="12" t="n"/>
      <c r="D67" s="12" t="n"/>
      <c r="E67" s="12" t="n"/>
      <c r="F67" s="13" t="n"/>
      <c r="G67" s="13" t="n"/>
      <c r="H67" s="13" t="n"/>
      <c r="I67" s="13" t="n"/>
      <c r="J67" s="13" t="n"/>
      <c r="K67" s="13" t="n"/>
      <c r="L67" s="13" t="n"/>
      <c r="M67" s="11" t="n"/>
      <c r="N67" s="11" t="n"/>
      <c r="O67" s="12" t="n"/>
      <c r="P67" s="13" t="n"/>
      <c r="Q67" s="13" t="n"/>
      <c r="R67" s="13" t="n"/>
      <c r="S67" s="11" t="n"/>
      <c r="T67" s="11" t="n"/>
      <c r="U67" s="13" t="n"/>
      <c r="V67" s="11" t="n"/>
      <c r="W67" s="12" t="n"/>
      <c r="X67" s="12" t="n"/>
      <c r="Y67" s="11" t="n"/>
      <c r="Z67" s="14">
        <f>IF(A67="","",IF(Y67&lt;&gt;"",Y67-B67,TODAY()-B67))</f>
        <v/>
      </c>
      <c r="AA67" s="14">
        <f>IF(A67="","",IF(AND(Y67="",TODAY()&gt;S67),"OVERDUE",IF(AND(Y67&lt;&gt;"",Y67&gt;S67),"CLOSED LATE","")))</f>
        <v/>
      </c>
      <c r="AB67" s="12" t="n"/>
      <c r="AC67" s="13" t="n"/>
      <c r="AD67" s="21" t="n"/>
      <c r="AE67" s="12" t="n"/>
      <c r="AF67" s="14">
        <f>IF(A67="","",IF(Y67&lt;&gt;"","Closed",IF(TODAY()&gt;S67,"Overdue","Open")))</f>
        <v/>
      </c>
      <c r="AG67" s="12" t="n"/>
      <c r="AH67" s="13" t="n"/>
      <c r="AI67" s="12" t="n"/>
      <c r="AJ67" s="14">
        <f>IF(A67="","",IF(OR(C67="Major",C67="Systemic"),4,IF(C67="Minor",1,0))+IF(AND(Y67="",S67&lt;&gt;"",TODAY()&gt;S67),3,0)+IF(AB67="Yes",3,0)+IF(AG67="Yes",2,0)+IF(AND(Y67="",AE67&gt;=14),2,0)+IF(AND(Y67="",AD67&gt;=100000),2,0)+IF(AND(Y67&lt;&gt;"",V67=""),3,0)+IF(AND(Y67&lt;&gt;"",X67=""),2,0)+IF(AND(Y67&lt;&gt;"",Z67&gt;90),1,0))</f>
        <v/>
      </c>
      <c r="AK67" s="14">
        <f>IF(AJ67="","",IF(AJ67&gt;=10,"CRITICAL",IF(AJ67&gt;=6,"HIGH",IF(AJ67&gt;=3,"WATCH","LOW"))))</f>
        <v/>
      </c>
      <c r="AL67" s="20">
        <f>IF(AJ67="","",TRIM(IF(OR(C67="Major",C67="Systemic"),"major or systemic; ","")&amp;IF(AND(Y67="",S67&lt;&gt;"",TODAY()&gt;S67),"open past agreed date; ","")&amp;IF(AB67="Yes","authority or NOC linked; ","")&amp;IF(AG67="Yes","repeat of a previous NCR; ","")&amp;IF(AND(Y67="",AE67&gt;=14),"programme impact 14 days or more; ","")&amp;IF(AND(Y67="",AD67&gt;=100000),"cost impact AED 100,000 or more; ","")&amp;IF(AND(Y67&lt;&gt;"",V67=""),"closed with no verification date; ","")&amp;IF(AND(Y67&lt;&gt;"",X67=""),"closed without a closure certificate; ","")&amp;IF(AND(Y67&lt;&gt;"",Z67&gt;90),"closed more than 90 days after raising; ","")))</f>
        <v/>
      </c>
    </row>
    <row r="68">
      <c r="A68" s="10" t="n"/>
      <c r="B68" s="11" t="n"/>
      <c r="C68" s="12" t="n"/>
      <c r="D68" s="12" t="n"/>
      <c r="E68" s="12" t="n"/>
      <c r="F68" s="13" t="n"/>
      <c r="G68" s="13" t="n"/>
      <c r="H68" s="13" t="n"/>
      <c r="I68" s="13" t="n"/>
      <c r="J68" s="13" t="n"/>
      <c r="K68" s="13" t="n"/>
      <c r="L68" s="13" t="n"/>
      <c r="M68" s="11" t="n"/>
      <c r="N68" s="11" t="n"/>
      <c r="O68" s="12" t="n"/>
      <c r="P68" s="13" t="n"/>
      <c r="Q68" s="13" t="n"/>
      <c r="R68" s="13" t="n"/>
      <c r="S68" s="11" t="n"/>
      <c r="T68" s="11" t="n"/>
      <c r="U68" s="13" t="n"/>
      <c r="V68" s="11" t="n"/>
      <c r="W68" s="12" t="n"/>
      <c r="X68" s="12" t="n"/>
      <c r="Y68" s="11" t="n"/>
      <c r="Z68" s="14">
        <f>IF(A68="","",IF(Y68&lt;&gt;"",Y68-B68,TODAY()-B68))</f>
        <v/>
      </c>
      <c r="AA68" s="14">
        <f>IF(A68="","",IF(AND(Y68="",TODAY()&gt;S68),"OVERDUE",IF(AND(Y68&lt;&gt;"",Y68&gt;S68),"CLOSED LATE","")))</f>
        <v/>
      </c>
      <c r="AB68" s="12" t="n"/>
      <c r="AC68" s="13" t="n"/>
      <c r="AD68" s="21" t="n"/>
      <c r="AE68" s="12" t="n"/>
      <c r="AF68" s="14">
        <f>IF(A68="","",IF(Y68&lt;&gt;"","Closed",IF(TODAY()&gt;S68,"Overdue","Open")))</f>
        <v/>
      </c>
      <c r="AG68" s="12" t="n"/>
      <c r="AH68" s="13" t="n"/>
      <c r="AI68" s="12" t="n"/>
      <c r="AJ68" s="14">
        <f>IF(A68="","",IF(OR(C68="Major",C68="Systemic"),4,IF(C68="Minor",1,0))+IF(AND(Y68="",S68&lt;&gt;"",TODAY()&gt;S68),3,0)+IF(AB68="Yes",3,0)+IF(AG68="Yes",2,0)+IF(AND(Y68="",AE68&gt;=14),2,0)+IF(AND(Y68="",AD68&gt;=100000),2,0)+IF(AND(Y68&lt;&gt;"",V68=""),3,0)+IF(AND(Y68&lt;&gt;"",X68=""),2,0)+IF(AND(Y68&lt;&gt;"",Z68&gt;90),1,0))</f>
        <v/>
      </c>
      <c r="AK68" s="14">
        <f>IF(AJ68="","",IF(AJ68&gt;=10,"CRITICAL",IF(AJ68&gt;=6,"HIGH",IF(AJ68&gt;=3,"WATCH","LOW"))))</f>
        <v/>
      </c>
      <c r="AL68" s="20">
        <f>IF(AJ68="","",TRIM(IF(OR(C68="Major",C68="Systemic"),"major or systemic; ","")&amp;IF(AND(Y68="",S68&lt;&gt;"",TODAY()&gt;S68),"open past agreed date; ","")&amp;IF(AB68="Yes","authority or NOC linked; ","")&amp;IF(AG68="Yes","repeat of a previous NCR; ","")&amp;IF(AND(Y68="",AE68&gt;=14),"programme impact 14 days or more; ","")&amp;IF(AND(Y68="",AD68&gt;=100000),"cost impact AED 100,000 or more; ","")&amp;IF(AND(Y68&lt;&gt;"",V68=""),"closed with no verification date; ","")&amp;IF(AND(Y68&lt;&gt;"",X68=""),"closed without a closure certificate; ","")&amp;IF(AND(Y68&lt;&gt;"",Z68&gt;90),"closed more than 90 days after raising; ","")))</f>
        <v/>
      </c>
    </row>
    <row r="69">
      <c r="A69" s="10" t="n"/>
      <c r="B69" s="11" t="n"/>
      <c r="C69" s="12" t="n"/>
      <c r="D69" s="12" t="n"/>
      <c r="E69" s="12" t="n"/>
      <c r="F69" s="13" t="n"/>
      <c r="G69" s="13" t="n"/>
      <c r="H69" s="13" t="n"/>
      <c r="I69" s="13" t="n"/>
      <c r="J69" s="13" t="n"/>
      <c r="K69" s="13" t="n"/>
      <c r="L69" s="13" t="n"/>
      <c r="M69" s="11" t="n"/>
      <c r="N69" s="11" t="n"/>
      <c r="O69" s="12" t="n"/>
      <c r="P69" s="13" t="n"/>
      <c r="Q69" s="13" t="n"/>
      <c r="R69" s="13" t="n"/>
      <c r="S69" s="11" t="n"/>
      <c r="T69" s="11" t="n"/>
      <c r="U69" s="13" t="n"/>
      <c r="V69" s="11" t="n"/>
      <c r="W69" s="12" t="n"/>
      <c r="X69" s="12" t="n"/>
      <c r="Y69" s="11" t="n"/>
      <c r="Z69" s="14">
        <f>IF(A69="","",IF(Y69&lt;&gt;"",Y69-B69,TODAY()-B69))</f>
        <v/>
      </c>
      <c r="AA69" s="14">
        <f>IF(A69="","",IF(AND(Y69="",TODAY()&gt;S69),"OVERDUE",IF(AND(Y69&lt;&gt;"",Y69&gt;S69),"CLOSED LATE","")))</f>
        <v/>
      </c>
      <c r="AB69" s="12" t="n"/>
      <c r="AC69" s="13" t="n"/>
      <c r="AD69" s="21" t="n"/>
      <c r="AE69" s="12" t="n"/>
      <c r="AF69" s="14">
        <f>IF(A69="","",IF(Y69&lt;&gt;"","Closed",IF(TODAY()&gt;S69,"Overdue","Open")))</f>
        <v/>
      </c>
      <c r="AG69" s="12" t="n"/>
      <c r="AH69" s="13" t="n"/>
      <c r="AI69" s="12" t="n"/>
      <c r="AJ69" s="14">
        <f>IF(A69="","",IF(OR(C69="Major",C69="Systemic"),4,IF(C69="Minor",1,0))+IF(AND(Y69="",S69&lt;&gt;"",TODAY()&gt;S69),3,0)+IF(AB69="Yes",3,0)+IF(AG69="Yes",2,0)+IF(AND(Y69="",AE69&gt;=14),2,0)+IF(AND(Y69="",AD69&gt;=100000),2,0)+IF(AND(Y69&lt;&gt;"",V69=""),3,0)+IF(AND(Y69&lt;&gt;"",X69=""),2,0)+IF(AND(Y69&lt;&gt;"",Z69&gt;90),1,0))</f>
        <v/>
      </c>
      <c r="AK69" s="14">
        <f>IF(AJ69="","",IF(AJ69&gt;=10,"CRITICAL",IF(AJ69&gt;=6,"HIGH",IF(AJ69&gt;=3,"WATCH","LOW"))))</f>
        <v/>
      </c>
      <c r="AL69" s="20">
        <f>IF(AJ69="","",TRIM(IF(OR(C69="Major",C69="Systemic"),"major or systemic; ","")&amp;IF(AND(Y69="",S69&lt;&gt;"",TODAY()&gt;S69),"open past agreed date; ","")&amp;IF(AB69="Yes","authority or NOC linked; ","")&amp;IF(AG69="Yes","repeat of a previous NCR; ","")&amp;IF(AND(Y69="",AE69&gt;=14),"programme impact 14 days or more; ","")&amp;IF(AND(Y69="",AD69&gt;=100000),"cost impact AED 100,000 or more; ","")&amp;IF(AND(Y69&lt;&gt;"",V69=""),"closed with no verification date; ","")&amp;IF(AND(Y69&lt;&gt;"",X69=""),"closed without a closure certificate; ","")&amp;IF(AND(Y69&lt;&gt;"",Z69&gt;90),"closed more than 90 days after raising; ","")))</f>
        <v/>
      </c>
    </row>
    <row r="70">
      <c r="A70" s="10" t="n"/>
      <c r="B70" s="11" t="n"/>
      <c r="C70" s="12" t="n"/>
      <c r="D70" s="12" t="n"/>
      <c r="E70" s="12" t="n"/>
      <c r="F70" s="13" t="n"/>
      <c r="G70" s="13" t="n"/>
      <c r="H70" s="13" t="n"/>
      <c r="I70" s="13" t="n"/>
      <c r="J70" s="13" t="n"/>
      <c r="K70" s="13" t="n"/>
      <c r="L70" s="13" t="n"/>
      <c r="M70" s="11" t="n"/>
      <c r="N70" s="11" t="n"/>
      <c r="O70" s="12" t="n"/>
      <c r="P70" s="13" t="n"/>
      <c r="Q70" s="13" t="n"/>
      <c r="R70" s="13" t="n"/>
      <c r="S70" s="11" t="n"/>
      <c r="T70" s="11" t="n"/>
      <c r="U70" s="13" t="n"/>
      <c r="V70" s="11" t="n"/>
      <c r="W70" s="12" t="n"/>
      <c r="X70" s="12" t="n"/>
      <c r="Y70" s="11" t="n"/>
      <c r="Z70" s="14">
        <f>IF(A70="","",IF(Y70&lt;&gt;"",Y70-B70,TODAY()-B70))</f>
        <v/>
      </c>
      <c r="AA70" s="14">
        <f>IF(A70="","",IF(AND(Y70="",TODAY()&gt;S70),"OVERDUE",IF(AND(Y70&lt;&gt;"",Y70&gt;S70),"CLOSED LATE","")))</f>
        <v/>
      </c>
      <c r="AB70" s="12" t="n"/>
      <c r="AC70" s="13" t="n"/>
      <c r="AD70" s="21" t="n"/>
      <c r="AE70" s="12" t="n"/>
      <c r="AF70" s="14">
        <f>IF(A70="","",IF(Y70&lt;&gt;"","Closed",IF(TODAY()&gt;S70,"Overdue","Open")))</f>
        <v/>
      </c>
      <c r="AG70" s="12" t="n"/>
      <c r="AH70" s="13" t="n"/>
      <c r="AI70" s="12" t="n"/>
      <c r="AJ70" s="14">
        <f>IF(A70="","",IF(OR(C70="Major",C70="Systemic"),4,IF(C70="Minor",1,0))+IF(AND(Y70="",S70&lt;&gt;"",TODAY()&gt;S70),3,0)+IF(AB70="Yes",3,0)+IF(AG70="Yes",2,0)+IF(AND(Y70="",AE70&gt;=14),2,0)+IF(AND(Y70="",AD70&gt;=100000),2,0)+IF(AND(Y70&lt;&gt;"",V70=""),3,0)+IF(AND(Y70&lt;&gt;"",X70=""),2,0)+IF(AND(Y70&lt;&gt;"",Z70&gt;90),1,0))</f>
        <v/>
      </c>
      <c r="AK70" s="14">
        <f>IF(AJ70="","",IF(AJ70&gt;=10,"CRITICAL",IF(AJ70&gt;=6,"HIGH",IF(AJ70&gt;=3,"WATCH","LOW"))))</f>
        <v/>
      </c>
      <c r="AL70" s="20">
        <f>IF(AJ70="","",TRIM(IF(OR(C70="Major",C70="Systemic"),"major or systemic; ","")&amp;IF(AND(Y70="",S70&lt;&gt;"",TODAY()&gt;S70),"open past agreed date; ","")&amp;IF(AB70="Yes","authority or NOC linked; ","")&amp;IF(AG70="Yes","repeat of a previous NCR; ","")&amp;IF(AND(Y70="",AE70&gt;=14),"programme impact 14 days or more; ","")&amp;IF(AND(Y70="",AD70&gt;=100000),"cost impact AED 100,000 or more; ","")&amp;IF(AND(Y70&lt;&gt;"",V70=""),"closed with no verification date; ","")&amp;IF(AND(Y70&lt;&gt;"",X70=""),"closed without a closure certificate; ","")&amp;IF(AND(Y70&lt;&gt;"",Z70&gt;90),"closed more than 90 days after raising; ","")))</f>
        <v/>
      </c>
    </row>
    <row r="71">
      <c r="A71" s="10" t="n"/>
      <c r="B71" s="11" t="n"/>
      <c r="C71" s="12" t="n"/>
      <c r="D71" s="12" t="n"/>
      <c r="E71" s="12" t="n"/>
      <c r="F71" s="13" t="n"/>
      <c r="G71" s="13" t="n"/>
      <c r="H71" s="13" t="n"/>
      <c r="I71" s="13" t="n"/>
      <c r="J71" s="13" t="n"/>
      <c r="K71" s="13" t="n"/>
      <c r="L71" s="13" t="n"/>
      <c r="M71" s="11" t="n"/>
      <c r="N71" s="11" t="n"/>
      <c r="O71" s="12" t="n"/>
      <c r="P71" s="13" t="n"/>
      <c r="Q71" s="13" t="n"/>
      <c r="R71" s="13" t="n"/>
      <c r="S71" s="11" t="n"/>
      <c r="T71" s="11" t="n"/>
      <c r="U71" s="13" t="n"/>
      <c r="V71" s="11" t="n"/>
      <c r="W71" s="12" t="n"/>
      <c r="X71" s="12" t="n"/>
      <c r="Y71" s="11" t="n"/>
      <c r="Z71" s="14">
        <f>IF(A71="","",IF(Y71&lt;&gt;"",Y71-B71,TODAY()-B71))</f>
        <v/>
      </c>
      <c r="AA71" s="14">
        <f>IF(A71="","",IF(AND(Y71="",TODAY()&gt;S71),"OVERDUE",IF(AND(Y71&lt;&gt;"",Y71&gt;S71),"CLOSED LATE","")))</f>
        <v/>
      </c>
      <c r="AB71" s="12" t="n"/>
      <c r="AC71" s="13" t="n"/>
      <c r="AD71" s="21" t="n"/>
      <c r="AE71" s="12" t="n"/>
      <c r="AF71" s="14">
        <f>IF(A71="","",IF(Y71&lt;&gt;"","Closed",IF(TODAY()&gt;S71,"Overdue","Open")))</f>
        <v/>
      </c>
      <c r="AG71" s="12" t="n"/>
      <c r="AH71" s="13" t="n"/>
      <c r="AI71" s="12" t="n"/>
      <c r="AJ71" s="14">
        <f>IF(A71="","",IF(OR(C71="Major",C71="Systemic"),4,IF(C71="Minor",1,0))+IF(AND(Y71="",S71&lt;&gt;"",TODAY()&gt;S71),3,0)+IF(AB71="Yes",3,0)+IF(AG71="Yes",2,0)+IF(AND(Y71="",AE71&gt;=14),2,0)+IF(AND(Y71="",AD71&gt;=100000),2,0)+IF(AND(Y71&lt;&gt;"",V71=""),3,0)+IF(AND(Y71&lt;&gt;"",X71=""),2,0)+IF(AND(Y71&lt;&gt;"",Z71&gt;90),1,0))</f>
        <v/>
      </c>
      <c r="AK71" s="14">
        <f>IF(AJ71="","",IF(AJ71&gt;=10,"CRITICAL",IF(AJ71&gt;=6,"HIGH",IF(AJ71&gt;=3,"WATCH","LOW"))))</f>
        <v/>
      </c>
      <c r="AL71" s="20">
        <f>IF(AJ71="","",TRIM(IF(OR(C71="Major",C71="Systemic"),"major or systemic; ","")&amp;IF(AND(Y71="",S71&lt;&gt;"",TODAY()&gt;S71),"open past agreed date; ","")&amp;IF(AB71="Yes","authority or NOC linked; ","")&amp;IF(AG71="Yes","repeat of a previous NCR; ","")&amp;IF(AND(Y71="",AE71&gt;=14),"programme impact 14 days or more; ","")&amp;IF(AND(Y71="",AD71&gt;=100000),"cost impact AED 100,000 or more; ","")&amp;IF(AND(Y71&lt;&gt;"",V71=""),"closed with no verification date; ","")&amp;IF(AND(Y71&lt;&gt;"",X71=""),"closed without a closure certificate; ","")&amp;IF(AND(Y71&lt;&gt;"",Z71&gt;90),"closed more than 90 days after raising; ","")))</f>
        <v/>
      </c>
    </row>
    <row r="72">
      <c r="A72" s="10" t="n"/>
      <c r="B72" s="11" t="n"/>
      <c r="C72" s="12" t="n"/>
      <c r="D72" s="12" t="n"/>
      <c r="E72" s="12" t="n"/>
      <c r="F72" s="13" t="n"/>
      <c r="G72" s="13" t="n"/>
      <c r="H72" s="13" t="n"/>
      <c r="I72" s="13" t="n"/>
      <c r="J72" s="13" t="n"/>
      <c r="K72" s="13" t="n"/>
      <c r="L72" s="13" t="n"/>
      <c r="M72" s="11" t="n"/>
      <c r="N72" s="11" t="n"/>
      <c r="O72" s="12" t="n"/>
      <c r="P72" s="13" t="n"/>
      <c r="Q72" s="13" t="n"/>
      <c r="R72" s="13" t="n"/>
      <c r="S72" s="11" t="n"/>
      <c r="T72" s="11" t="n"/>
      <c r="U72" s="13" t="n"/>
      <c r="V72" s="11" t="n"/>
      <c r="W72" s="12" t="n"/>
      <c r="X72" s="12" t="n"/>
      <c r="Y72" s="11" t="n"/>
      <c r="Z72" s="14">
        <f>IF(A72="","",IF(Y72&lt;&gt;"",Y72-B72,TODAY()-B72))</f>
        <v/>
      </c>
      <c r="AA72" s="14">
        <f>IF(A72="","",IF(AND(Y72="",TODAY()&gt;S72),"OVERDUE",IF(AND(Y72&lt;&gt;"",Y72&gt;S72),"CLOSED LATE","")))</f>
        <v/>
      </c>
      <c r="AB72" s="12" t="n"/>
      <c r="AC72" s="13" t="n"/>
      <c r="AD72" s="21" t="n"/>
      <c r="AE72" s="12" t="n"/>
      <c r="AF72" s="14">
        <f>IF(A72="","",IF(Y72&lt;&gt;"","Closed",IF(TODAY()&gt;S72,"Overdue","Open")))</f>
        <v/>
      </c>
      <c r="AG72" s="12" t="n"/>
      <c r="AH72" s="13" t="n"/>
      <c r="AI72" s="12" t="n"/>
      <c r="AJ72" s="14">
        <f>IF(A72="","",IF(OR(C72="Major",C72="Systemic"),4,IF(C72="Minor",1,0))+IF(AND(Y72="",S72&lt;&gt;"",TODAY()&gt;S72),3,0)+IF(AB72="Yes",3,0)+IF(AG72="Yes",2,0)+IF(AND(Y72="",AE72&gt;=14),2,0)+IF(AND(Y72="",AD72&gt;=100000),2,0)+IF(AND(Y72&lt;&gt;"",V72=""),3,0)+IF(AND(Y72&lt;&gt;"",X72=""),2,0)+IF(AND(Y72&lt;&gt;"",Z72&gt;90),1,0))</f>
        <v/>
      </c>
      <c r="AK72" s="14">
        <f>IF(AJ72="","",IF(AJ72&gt;=10,"CRITICAL",IF(AJ72&gt;=6,"HIGH",IF(AJ72&gt;=3,"WATCH","LOW"))))</f>
        <v/>
      </c>
      <c r="AL72" s="20">
        <f>IF(AJ72="","",TRIM(IF(OR(C72="Major",C72="Systemic"),"major or systemic; ","")&amp;IF(AND(Y72="",S72&lt;&gt;"",TODAY()&gt;S72),"open past agreed date; ","")&amp;IF(AB72="Yes","authority or NOC linked; ","")&amp;IF(AG72="Yes","repeat of a previous NCR; ","")&amp;IF(AND(Y72="",AE72&gt;=14),"programme impact 14 days or more; ","")&amp;IF(AND(Y72="",AD72&gt;=100000),"cost impact AED 100,000 or more; ","")&amp;IF(AND(Y72&lt;&gt;"",V72=""),"closed with no verification date; ","")&amp;IF(AND(Y72&lt;&gt;"",X72=""),"closed without a closure certificate; ","")&amp;IF(AND(Y72&lt;&gt;"",Z72&gt;90),"closed more than 90 days after raising; ","")))</f>
        <v/>
      </c>
    </row>
    <row r="73">
      <c r="A73" s="10" t="n"/>
      <c r="B73" s="11" t="n"/>
      <c r="C73" s="12" t="n"/>
      <c r="D73" s="12" t="n"/>
      <c r="E73" s="12" t="n"/>
      <c r="F73" s="13" t="n"/>
      <c r="G73" s="13" t="n"/>
      <c r="H73" s="13" t="n"/>
      <c r="I73" s="13" t="n"/>
      <c r="J73" s="13" t="n"/>
      <c r="K73" s="13" t="n"/>
      <c r="L73" s="13" t="n"/>
      <c r="M73" s="11" t="n"/>
      <c r="N73" s="11" t="n"/>
      <c r="O73" s="12" t="n"/>
      <c r="P73" s="13" t="n"/>
      <c r="Q73" s="13" t="n"/>
      <c r="R73" s="13" t="n"/>
      <c r="S73" s="11" t="n"/>
      <c r="T73" s="11" t="n"/>
      <c r="U73" s="13" t="n"/>
      <c r="V73" s="11" t="n"/>
      <c r="W73" s="12" t="n"/>
      <c r="X73" s="12" t="n"/>
      <c r="Y73" s="11" t="n"/>
      <c r="Z73" s="14">
        <f>IF(A73="","",IF(Y73&lt;&gt;"",Y73-B73,TODAY()-B73))</f>
        <v/>
      </c>
      <c r="AA73" s="14">
        <f>IF(A73="","",IF(AND(Y73="",TODAY()&gt;S73),"OVERDUE",IF(AND(Y73&lt;&gt;"",Y73&gt;S73),"CLOSED LATE","")))</f>
        <v/>
      </c>
      <c r="AB73" s="12" t="n"/>
      <c r="AC73" s="13" t="n"/>
      <c r="AD73" s="21" t="n"/>
      <c r="AE73" s="12" t="n"/>
      <c r="AF73" s="14">
        <f>IF(A73="","",IF(Y73&lt;&gt;"","Closed",IF(TODAY()&gt;S73,"Overdue","Open")))</f>
        <v/>
      </c>
      <c r="AG73" s="12" t="n"/>
      <c r="AH73" s="13" t="n"/>
      <c r="AI73" s="12" t="n"/>
      <c r="AJ73" s="14">
        <f>IF(A73="","",IF(OR(C73="Major",C73="Systemic"),4,IF(C73="Minor",1,0))+IF(AND(Y73="",S73&lt;&gt;"",TODAY()&gt;S73),3,0)+IF(AB73="Yes",3,0)+IF(AG73="Yes",2,0)+IF(AND(Y73="",AE73&gt;=14),2,0)+IF(AND(Y73="",AD73&gt;=100000),2,0)+IF(AND(Y73&lt;&gt;"",V73=""),3,0)+IF(AND(Y73&lt;&gt;"",X73=""),2,0)+IF(AND(Y73&lt;&gt;"",Z73&gt;90),1,0))</f>
        <v/>
      </c>
      <c r="AK73" s="14">
        <f>IF(AJ73="","",IF(AJ73&gt;=10,"CRITICAL",IF(AJ73&gt;=6,"HIGH",IF(AJ73&gt;=3,"WATCH","LOW"))))</f>
        <v/>
      </c>
      <c r="AL73" s="20">
        <f>IF(AJ73="","",TRIM(IF(OR(C73="Major",C73="Systemic"),"major or systemic; ","")&amp;IF(AND(Y73="",S73&lt;&gt;"",TODAY()&gt;S73),"open past agreed date; ","")&amp;IF(AB73="Yes","authority or NOC linked; ","")&amp;IF(AG73="Yes","repeat of a previous NCR; ","")&amp;IF(AND(Y73="",AE73&gt;=14),"programme impact 14 days or more; ","")&amp;IF(AND(Y73="",AD73&gt;=100000),"cost impact AED 100,000 or more; ","")&amp;IF(AND(Y73&lt;&gt;"",V73=""),"closed with no verification date; ","")&amp;IF(AND(Y73&lt;&gt;"",X73=""),"closed without a closure certificate; ","")&amp;IF(AND(Y73&lt;&gt;"",Z73&gt;90),"closed more than 90 days after raising; ","")))</f>
        <v/>
      </c>
    </row>
    <row r="74">
      <c r="A74" s="10" t="n"/>
      <c r="B74" s="11" t="n"/>
      <c r="C74" s="12" t="n"/>
      <c r="D74" s="12" t="n"/>
      <c r="E74" s="12" t="n"/>
      <c r="F74" s="13" t="n"/>
      <c r="G74" s="13" t="n"/>
      <c r="H74" s="13" t="n"/>
      <c r="I74" s="13" t="n"/>
      <c r="J74" s="13" t="n"/>
      <c r="K74" s="13" t="n"/>
      <c r="L74" s="13" t="n"/>
      <c r="M74" s="11" t="n"/>
      <c r="N74" s="11" t="n"/>
      <c r="O74" s="12" t="n"/>
      <c r="P74" s="13" t="n"/>
      <c r="Q74" s="13" t="n"/>
      <c r="R74" s="13" t="n"/>
      <c r="S74" s="11" t="n"/>
      <c r="T74" s="11" t="n"/>
      <c r="U74" s="13" t="n"/>
      <c r="V74" s="11" t="n"/>
      <c r="W74" s="12" t="n"/>
      <c r="X74" s="12" t="n"/>
      <c r="Y74" s="11" t="n"/>
      <c r="Z74" s="14">
        <f>IF(A74="","",IF(Y74&lt;&gt;"",Y74-B74,TODAY()-B74))</f>
        <v/>
      </c>
      <c r="AA74" s="14">
        <f>IF(A74="","",IF(AND(Y74="",TODAY()&gt;S74),"OVERDUE",IF(AND(Y74&lt;&gt;"",Y74&gt;S74),"CLOSED LATE","")))</f>
        <v/>
      </c>
      <c r="AB74" s="12" t="n"/>
      <c r="AC74" s="13" t="n"/>
      <c r="AD74" s="21" t="n"/>
      <c r="AE74" s="12" t="n"/>
      <c r="AF74" s="14">
        <f>IF(A74="","",IF(Y74&lt;&gt;"","Closed",IF(TODAY()&gt;S74,"Overdue","Open")))</f>
        <v/>
      </c>
      <c r="AG74" s="12" t="n"/>
      <c r="AH74" s="13" t="n"/>
      <c r="AI74" s="12" t="n"/>
      <c r="AJ74" s="14">
        <f>IF(A74="","",IF(OR(C74="Major",C74="Systemic"),4,IF(C74="Minor",1,0))+IF(AND(Y74="",S74&lt;&gt;"",TODAY()&gt;S74),3,0)+IF(AB74="Yes",3,0)+IF(AG74="Yes",2,0)+IF(AND(Y74="",AE74&gt;=14),2,0)+IF(AND(Y74="",AD74&gt;=100000),2,0)+IF(AND(Y74&lt;&gt;"",V74=""),3,0)+IF(AND(Y74&lt;&gt;"",X74=""),2,0)+IF(AND(Y74&lt;&gt;"",Z74&gt;90),1,0))</f>
        <v/>
      </c>
      <c r="AK74" s="14">
        <f>IF(AJ74="","",IF(AJ74&gt;=10,"CRITICAL",IF(AJ74&gt;=6,"HIGH",IF(AJ74&gt;=3,"WATCH","LOW"))))</f>
        <v/>
      </c>
      <c r="AL74" s="20">
        <f>IF(AJ74="","",TRIM(IF(OR(C74="Major",C74="Systemic"),"major or systemic; ","")&amp;IF(AND(Y74="",S74&lt;&gt;"",TODAY()&gt;S74),"open past agreed date; ","")&amp;IF(AB74="Yes","authority or NOC linked; ","")&amp;IF(AG74="Yes","repeat of a previous NCR; ","")&amp;IF(AND(Y74="",AE74&gt;=14),"programme impact 14 days or more; ","")&amp;IF(AND(Y74="",AD74&gt;=100000),"cost impact AED 100,000 or more; ","")&amp;IF(AND(Y74&lt;&gt;"",V74=""),"closed with no verification date; ","")&amp;IF(AND(Y74&lt;&gt;"",X74=""),"closed without a closure certificate; ","")&amp;IF(AND(Y74&lt;&gt;"",Z74&gt;90),"closed more than 90 days after raising; ","")))</f>
        <v/>
      </c>
    </row>
    <row r="75">
      <c r="A75" s="10" t="n"/>
      <c r="B75" s="11" t="n"/>
      <c r="C75" s="12" t="n"/>
      <c r="D75" s="12" t="n"/>
      <c r="E75" s="12" t="n"/>
      <c r="F75" s="13" t="n"/>
      <c r="G75" s="13" t="n"/>
      <c r="H75" s="13" t="n"/>
      <c r="I75" s="13" t="n"/>
      <c r="J75" s="13" t="n"/>
      <c r="K75" s="13" t="n"/>
      <c r="L75" s="13" t="n"/>
      <c r="M75" s="11" t="n"/>
      <c r="N75" s="11" t="n"/>
      <c r="O75" s="12" t="n"/>
      <c r="P75" s="13" t="n"/>
      <c r="Q75" s="13" t="n"/>
      <c r="R75" s="13" t="n"/>
      <c r="S75" s="11" t="n"/>
      <c r="T75" s="11" t="n"/>
      <c r="U75" s="13" t="n"/>
      <c r="V75" s="11" t="n"/>
      <c r="W75" s="12" t="n"/>
      <c r="X75" s="12" t="n"/>
      <c r="Y75" s="11" t="n"/>
      <c r="Z75" s="14">
        <f>IF(A75="","",IF(Y75&lt;&gt;"",Y75-B75,TODAY()-B75))</f>
        <v/>
      </c>
      <c r="AA75" s="14">
        <f>IF(A75="","",IF(AND(Y75="",TODAY()&gt;S75),"OVERDUE",IF(AND(Y75&lt;&gt;"",Y75&gt;S75),"CLOSED LATE","")))</f>
        <v/>
      </c>
      <c r="AB75" s="12" t="n"/>
      <c r="AC75" s="13" t="n"/>
      <c r="AD75" s="21" t="n"/>
      <c r="AE75" s="12" t="n"/>
      <c r="AF75" s="14">
        <f>IF(A75="","",IF(Y75&lt;&gt;"","Closed",IF(TODAY()&gt;S75,"Overdue","Open")))</f>
        <v/>
      </c>
      <c r="AG75" s="12" t="n"/>
      <c r="AH75" s="13" t="n"/>
      <c r="AI75" s="12" t="n"/>
      <c r="AJ75" s="14">
        <f>IF(A75="","",IF(OR(C75="Major",C75="Systemic"),4,IF(C75="Minor",1,0))+IF(AND(Y75="",S75&lt;&gt;"",TODAY()&gt;S75),3,0)+IF(AB75="Yes",3,0)+IF(AG75="Yes",2,0)+IF(AND(Y75="",AE75&gt;=14),2,0)+IF(AND(Y75="",AD75&gt;=100000),2,0)+IF(AND(Y75&lt;&gt;"",V75=""),3,0)+IF(AND(Y75&lt;&gt;"",X75=""),2,0)+IF(AND(Y75&lt;&gt;"",Z75&gt;90),1,0))</f>
        <v/>
      </c>
      <c r="AK75" s="14">
        <f>IF(AJ75="","",IF(AJ75&gt;=10,"CRITICAL",IF(AJ75&gt;=6,"HIGH",IF(AJ75&gt;=3,"WATCH","LOW"))))</f>
        <v/>
      </c>
      <c r="AL75" s="20">
        <f>IF(AJ75="","",TRIM(IF(OR(C75="Major",C75="Systemic"),"major or systemic; ","")&amp;IF(AND(Y75="",S75&lt;&gt;"",TODAY()&gt;S75),"open past agreed date; ","")&amp;IF(AB75="Yes","authority or NOC linked; ","")&amp;IF(AG75="Yes","repeat of a previous NCR; ","")&amp;IF(AND(Y75="",AE75&gt;=14),"programme impact 14 days or more; ","")&amp;IF(AND(Y75="",AD75&gt;=100000),"cost impact AED 100,000 or more; ","")&amp;IF(AND(Y75&lt;&gt;"",V75=""),"closed with no verification date; ","")&amp;IF(AND(Y75&lt;&gt;"",X75=""),"closed without a closure certificate; ","")&amp;IF(AND(Y75&lt;&gt;"",Z75&gt;90),"closed more than 90 days after raising; ","")))</f>
        <v/>
      </c>
    </row>
    <row r="76">
      <c r="A76" s="10" t="n"/>
      <c r="B76" s="11" t="n"/>
      <c r="C76" s="12" t="n"/>
      <c r="D76" s="12" t="n"/>
      <c r="E76" s="12" t="n"/>
      <c r="F76" s="13" t="n"/>
      <c r="G76" s="13" t="n"/>
      <c r="H76" s="13" t="n"/>
      <c r="I76" s="13" t="n"/>
      <c r="J76" s="13" t="n"/>
      <c r="K76" s="13" t="n"/>
      <c r="L76" s="13" t="n"/>
      <c r="M76" s="11" t="n"/>
      <c r="N76" s="11" t="n"/>
      <c r="O76" s="12" t="n"/>
      <c r="P76" s="13" t="n"/>
      <c r="Q76" s="13" t="n"/>
      <c r="R76" s="13" t="n"/>
      <c r="S76" s="11" t="n"/>
      <c r="T76" s="11" t="n"/>
      <c r="U76" s="13" t="n"/>
      <c r="V76" s="11" t="n"/>
      <c r="W76" s="12" t="n"/>
      <c r="X76" s="12" t="n"/>
      <c r="Y76" s="11" t="n"/>
      <c r="Z76" s="14">
        <f>IF(A76="","",IF(Y76&lt;&gt;"",Y76-B76,TODAY()-B76))</f>
        <v/>
      </c>
      <c r="AA76" s="14">
        <f>IF(A76="","",IF(AND(Y76="",TODAY()&gt;S76),"OVERDUE",IF(AND(Y76&lt;&gt;"",Y76&gt;S76),"CLOSED LATE","")))</f>
        <v/>
      </c>
      <c r="AB76" s="12" t="n"/>
      <c r="AC76" s="13" t="n"/>
      <c r="AD76" s="21" t="n"/>
      <c r="AE76" s="12" t="n"/>
      <c r="AF76" s="14">
        <f>IF(A76="","",IF(Y76&lt;&gt;"","Closed",IF(TODAY()&gt;S76,"Overdue","Open")))</f>
        <v/>
      </c>
      <c r="AG76" s="12" t="n"/>
      <c r="AH76" s="13" t="n"/>
      <c r="AI76" s="12" t="n"/>
      <c r="AJ76" s="14">
        <f>IF(A76="","",IF(OR(C76="Major",C76="Systemic"),4,IF(C76="Minor",1,0))+IF(AND(Y76="",S76&lt;&gt;"",TODAY()&gt;S76),3,0)+IF(AB76="Yes",3,0)+IF(AG76="Yes",2,0)+IF(AND(Y76="",AE76&gt;=14),2,0)+IF(AND(Y76="",AD76&gt;=100000),2,0)+IF(AND(Y76&lt;&gt;"",V76=""),3,0)+IF(AND(Y76&lt;&gt;"",X76=""),2,0)+IF(AND(Y76&lt;&gt;"",Z76&gt;90),1,0))</f>
        <v/>
      </c>
      <c r="AK76" s="14">
        <f>IF(AJ76="","",IF(AJ76&gt;=10,"CRITICAL",IF(AJ76&gt;=6,"HIGH",IF(AJ76&gt;=3,"WATCH","LOW"))))</f>
        <v/>
      </c>
      <c r="AL76" s="20">
        <f>IF(AJ76="","",TRIM(IF(OR(C76="Major",C76="Systemic"),"major or systemic; ","")&amp;IF(AND(Y76="",S76&lt;&gt;"",TODAY()&gt;S76),"open past agreed date; ","")&amp;IF(AB76="Yes","authority or NOC linked; ","")&amp;IF(AG76="Yes","repeat of a previous NCR; ","")&amp;IF(AND(Y76="",AE76&gt;=14),"programme impact 14 days or more; ","")&amp;IF(AND(Y76="",AD76&gt;=100000),"cost impact AED 100,000 or more; ","")&amp;IF(AND(Y76&lt;&gt;"",V76=""),"closed with no verification date; ","")&amp;IF(AND(Y76&lt;&gt;"",X76=""),"closed without a closure certificate; ","")&amp;IF(AND(Y76&lt;&gt;"",Z76&gt;90),"closed more than 90 days after raising; ","")))</f>
        <v/>
      </c>
    </row>
    <row r="77">
      <c r="A77" s="10" t="n"/>
      <c r="B77" s="11" t="n"/>
      <c r="C77" s="12" t="n"/>
      <c r="D77" s="12" t="n"/>
      <c r="E77" s="12" t="n"/>
      <c r="F77" s="13" t="n"/>
      <c r="G77" s="13" t="n"/>
      <c r="H77" s="13" t="n"/>
      <c r="I77" s="13" t="n"/>
      <c r="J77" s="13" t="n"/>
      <c r="K77" s="13" t="n"/>
      <c r="L77" s="13" t="n"/>
      <c r="M77" s="11" t="n"/>
      <c r="N77" s="11" t="n"/>
      <c r="O77" s="12" t="n"/>
      <c r="P77" s="13" t="n"/>
      <c r="Q77" s="13" t="n"/>
      <c r="R77" s="13" t="n"/>
      <c r="S77" s="11" t="n"/>
      <c r="T77" s="11" t="n"/>
      <c r="U77" s="13" t="n"/>
      <c r="V77" s="11" t="n"/>
      <c r="W77" s="12" t="n"/>
      <c r="X77" s="12" t="n"/>
      <c r="Y77" s="11" t="n"/>
      <c r="Z77" s="14">
        <f>IF(A77="","",IF(Y77&lt;&gt;"",Y77-B77,TODAY()-B77))</f>
        <v/>
      </c>
      <c r="AA77" s="14">
        <f>IF(A77="","",IF(AND(Y77="",TODAY()&gt;S77),"OVERDUE",IF(AND(Y77&lt;&gt;"",Y77&gt;S77),"CLOSED LATE","")))</f>
        <v/>
      </c>
      <c r="AB77" s="12" t="n"/>
      <c r="AC77" s="13" t="n"/>
      <c r="AD77" s="21" t="n"/>
      <c r="AE77" s="12" t="n"/>
      <c r="AF77" s="14">
        <f>IF(A77="","",IF(Y77&lt;&gt;"","Closed",IF(TODAY()&gt;S77,"Overdue","Open")))</f>
        <v/>
      </c>
      <c r="AG77" s="12" t="n"/>
      <c r="AH77" s="13" t="n"/>
      <c r="AI77" s="12" t="n"/>
      <c r="AJ77" s="14">
        <f>IF(A77="","",IF(OR(C77="Major",C77="Systemic"),4,IF(C77="Minor",1,0))+IF(AND(Y77="",S77&lt;&gt;"",TODAY()&gt;S77),3,0)+IF(AB77="Yes",3,0)+IF(AG77="Yes",2,0)+IF(AND(Y77="",AE77&gt;=14),2,0)+IF(AND(Y77="",AD77&gt;=100000),2,0)+IF(AND(Y77&lt;&gt;"",V77=""),3,0)+IF(AND(Y77&lt;&gt;"",X77=""),2,0)+IF(AND(Y77&lt;&gt;"",Z77&gt;90),1,0))</f>
        <v/>
      </c>
      <c r="AK77" s="14">
        <f>IF(AJ77="","",IF(AJ77&gt;=10,"CRITICAL",IF(AJ77&gt;=6,"HIGH",IF(AJ77&gt;=3,"WATCH","LOW"))))</f>
        <v/>
      </c>
      <c r="AL77" s="20">
        <f>IF(AJ77="","",TRIM(IF(OR(C77="Major",C77="Systemic"),"major or systemic; ","")&amp;IF(AND(Y77="",S77&lt;&gt;"",TODAY()&gt;S77),"open past agreed date; ","")&amp;IF(AB77="Yes","authority or NOC linked; ","")&amp;IF(AG77="Yes","repeat of a previous NCR; ","")&amp;IF(AND(Y77="",AE77&gt;=14),"programme impact 14 days or more; ","")&amp;IF(AND(Y77="",AD77&gt;=100000),"cost impact AED 100,000 or more; ","")&amp;IF(AND(Y77&lt;&gt;"",V77=""),"closed with no verification date; ","")&amp;IF(AND(Y77&lt;&gt;"",X77=""),"closed without a closure certificate; ","")&amp;IF(AND(Y77&lt;&gt;"",Z77&gt;90),"closed more than 90 days after raising; ","")))</f>
        <v/>
      </c>
    </row>
    <row r="78">
      <c r="A78" s="10" t="n"/>
      <c r="B78" s="11" t="n"/>
      <c r="C78" s="12" t="n"/>
      <c r="D78" s="12" t="n"/>
      <c r="E78" s="12" t="n"/>
      <c r="F78" s="13" t="n"/>
      <c r="G78" s="13" t="n"/>
      <c r="H78" s="13" t="n"/>
      <c r="I78" s="13" t="n"/>
      <c r="J78" s="13" t="n"/>
      <c r="K78" s="13" t="n"/>
      <c r="L78" s="13" t="n"/>
      <c r="M78" s="11" t="n"/>
      <c r="N78" s="11" t="n"/>
      <c r="O78" s="12" t="n"/>
      <c r="P78" s="13" t="n"/>
      <c r="Q78" s="13" t="n"/>
      <c r="R78" s="13" t="n"/>
      <c r="S78" s="11" t="n"/>
      <c r="T78" s="11" t="n"/>
      <c r="U78" s="13" t="n"/>
      <c r="V78" s="11" t="n"/>
      <c r="W78" s="12" t="n"/>
      <c r="X78" s="12" t="n"/>
      <c r="Y78" s="11" t="n"/>
      <c r="Z78" s="14">
        <f>IF(A78="","",IF(Y78&lt;&gt;"",Y78-B78,TODAY()-B78))</f>
        <v/>
      </c>
      <c r="AA78" s="14">
        <f>IF(A78="","",IF(AND(Y78="",TODAY()&gt;S78),"OVERDUE",IF(AND(Y78&lt;&gt;"",Y78&gt;S78),"CLOSED LATE","")))</f>
        <v/>
      </c>
      <c r="AB78" s="12" t="n"/>
      <c r="AC78" s="13" t="n"/>
      <c r="AD78" s="21" t="n"/>
      <c r="AE78" s="12" t="n"/>
      <c r="AF78" s="14">
        <f>IF(A78="","",IF(Y78&lt;&gt;"","Closed",IF(TODAY()&gt;S78,"Overdue","Open")))</f>
        <v/>
      </c>
      <c r="AG78" s="12" t="n"/>
      <c r="AH78" s="13" t="n"/>
      <c r="AI78" s="12" t="n"/>
      <c r="AJ78" s="14">
        <f>IF(A78="","",IF(OR(C78="Major",C78="Systemic"),4,IF(C78="Minor",1,0))+IF(AND(Y78="",S78&lt;&gt;"",TODAY()&gt;S78),3,0)+IF(AB78="Yes",3,0)+IF(AG78="Yes",2,0)+IF(AND(Y78="",AE78&gt;=14),2,0)+IF(AND(Y78="",AD78&gt;=100000),2,0)+IF(AND(Y78&lt;&gt;"",V78=""),3,0)+IF(AND(Y78&lt;&gt;"",X78=""),2,0)+IF(AND(Y78&lt;&gt;"",Z78&gt;90),1,0))</f>
        <v/>
      </c>
      <c r="AK78" s="14">
        <f>IF(AJ78="","",IF(AJ78&gt;=10,"CRITICAL",IF(AJ78&gt;=6,"HIGH",IF(AJ78&gt;=3,"WATCH","LOW"))))</f>
        <v/>
      </c>
      <c r="AL78" s="20">
        <f>IF(AJ78="","",TRIM(IF(OR(C78="Major",C78="Systemic"),"major or systemic; ","")&amp;IF(AND(Y78="",S78&lt;&gt;"",TODAY()&gt;S78),"open past agreed date; ","")&amp;IF(AB78="Yes","authority or NOC linked; ","")&amp;IF(AG78="Yes","repeat of a previous NCR; ","")&amp;IF(AND(Y78="",AE78&gt;=14),"programme impact 14 days or more; ","")&amp;IF(AND(Y78="",AD78&gt;=100000),"cost impact AED 100,000 or more; ","")&amp;IF(AND(Y78&lt;&gt;"",V78=""),"closed with no verification date; ","")&amp;IF(AND(Y78&lt;&gt;"",X78=""),"closed without a closure certificate; ","")&amp;IF(AND(Y78&lt;&gt;"",Z78&gt;90),"closed more than 90 days after raising; ","")))</f>
        <v/>
      </c>
    </row>
    <row r="79">
      <c r="A79" s="10" t="n"/>
      <c r="B79" s="11" t="n"/>
      <c r="C79" s="12" t="n"/>
      <c r="D79" s="12" t="n"/>
      <c r="E79" s="12" t="n"/>
      <c r="F79" s="13" t="n"/>
      <c r="G79" s="13" t="n"/>
      <c r="H79" s="13" t="n"/>
      <c r="I79" s="13" t="n"/>
      <c r="J79" s="13" t="n"/>
      <c r="K79" s="13" t="n"/>
      <c r="L79" s="13" t="n"/>
      <c r="M79" s="11" t="n"/>
      <c r="N79" s="11" t="n"/>
      <c r="O79" s="12" t="n"/>
      <c r="P79" s="13" t="n"/>
      <c r="Q79" s="13" t="n"/>
      <c r="R79" s="13" t="n"/>
      <c r="S79" s="11" t="n"/>
      <c r="T79" s="11" t="n"/>
      <c r="U79" s="13" t="n"/>
      <c r="V79" s="11" t="n"/>
      <c r="W79" s="12" t="n"/>
      <c r="X79" s="12" t="n"/>
      <c r="Y79" s="11" t="n"/>
      <c r="Z79" s="14">
        <f>IF(A79="","",IF(Y79&lt;&gt;"",Y79-B79,TODAY()-B79))</f>
        <v/>
      </c>
      <c r="AA79" s="14">
        <f>IF(A79="","",IF(AND(Y79="",TODAY()&gt;S79),"OVERDUE",IF(AND(Y79&lt;&gt;"",Y79&gt;S79),"CLOSED LATE","")))</f>
        <v/>
      </c>
      <c r="AB79" s="12" t="n"/>
      <c r="AC79" s="13" t="n"/>
      <c r="AD79" s="21" t="n"/>
      <c r="AE79" s="12" t="n"/>
      <c r="AF79" s="14">
        <f>IF(A79="","",IF(Y79&lt;&gt;"","Closed",IF(TODAY()&gt;S79,"Overdue","Open")))</f>
        <v/>
      </c>
      <c r="AG79" s="12" t="n"/>
      <c r="AH79" s="13" t="n"/>
      <c r="AI79" s="12" t="n"/>
      <c r="AJ79" s="14">
        <f>IF(A79="","",IF(OR(C79="Major",C79="Systemic"),4,IF(C79="Minor",1,0))+IF(AND(Y79="",S79&lt;&gt;"",TODAY()&gt;S79),3,0)+IF(AB79="Yes",3,0)+IF(AG79="Yes",2,0)+IF(AND(Y79="",AE79&gt;=14),2,0)+IF(AND(Y79="",AD79&gt;=100000),2,0)+IF(AND(Y79&lt;&gt;"",V79=""),3,0)+IF(AND(Y79&lt;&gt;"",X79=""),2,0)+IF(AND(Y79&lt;&gt;"",Z79&gt;90),1,0))</f>
        <v/>
      </c>
      <c r="AK79" s="14">
        <f>IF(AJ79="","",IF(AJ79&gt;=10,"CRITICAL",IF(AJ79&gt;=6,"HIGH",IF(AJ79&gt;=3,"WATCH","LOW"))))</f>
        <v/>
      </c>
      <c r="AL79" s="20">
        <f>IF(AJ79="","",TRIM(IF(OR(C79="Major",C79="Systemic"),"major or systemic; ","")&amp;IF(AND(Y79="",S79&lt;&gt;"",TODAY()&gt;S79),"open past agreed date; ","")&amp;IF(AB79="Yes","authority or NOC linked; ","")&amp;IF(AG79="Yes","repeat of a previous NCR; ","")&amp;IF(AND(Y79="",AE79&gt;=14),"programme impact 14 days or more; ","")&amp;IF(AND(Y79="",AD79&gt;=100000),"cost impact AED 100,000 or more; ","")&amp;IF(AND(Y79&lt;&gt;"",V79=""),"closed with no verification date; ","")&amp;IF(AND(Y79&lt;&gt;"",X79=""),"closed without a closure certificate; ","")&amp;IF(AND(Y79&lt;&gt;"",Z79&gt;90),"closed more than 90 days after raising; ","")))</f>
        <v/>
      </c>
    </row>
    <row r="80">
      <c r="A80" s="10" t="n"/>
      <c r="B80" s="11" t="n"/>
      <c r="C80" s="12" t="n"/>
      <c r="D80" s="12" t="n"/>
      <c r="E80" s="12" t="n"/>
      <c r="F80" s="13" t="n"/>
      <c r="G80" s="13" t="n"/>
      <c r="H80" s="13" t="n"/>
      <c r="I80" s="13" t="n"/>
      <c r="J80" s="13" t="n"/>
      <c r="K80" s="13" t="n"/>
      <c r="L80" s="13" t="n"/>
      <c r="M80" s="11" t="n"/>
      <c r="N80" s="11" t="n"/>
      <c r="O80" s="12" t="n"/>
      <c r="P80" s="13" t="n"/>
      <c r="Q80" s="13" t="n"/>
      <c r="R80" s="13" t="n"/>
      <c r="S80" s="11" t="n"/>
      <c r="T80" s="11" t="n"/>
      <c r="U80" s="13" t="n"/>
      <c r="V80" s="11" t="n"/>
      <c r="W80" s="12" t="n"/>
      <c r="X80" s="12" t="n"/>
      <c r="Y80" s="11" t="n"/>
      <c r="Z80" s="14">
        <f>IF(A80="","",IF(Y80&lt;&gt;"",Y80-B80,TODAY()-B80))</f>
        <v/>
      </c>
      <c r="AA80" s="14">
        <f>IF(A80="","",IF(AND(Y80="",TODAY()&gt;S80),"OVERDUE",IF(AND(Y80&lt;&gt;"",Y80&gt;S80),"CLOSED LATE","")))</f>
        <v/>
      </c>
      <c r="AB80" s="12" t="n"/>
      <c r="AC80" s="13" t="n"/>
      <c r="AD80" s="21" t="n"/>
      <c r="AE80" s="12" t="n"/>
      <c r="AF80" s="14">
        <f>IF(A80="","",IF(Y80&lt;&gt;"","Closed",IF(TODAY()&gt;S80,"Overdue","Open")))</f>
        <v/>
      </c>
      <c r="AG80" s="12" t="n"/>
      <c r="AH80" s="13" t="n"/>
      <c r="AI80" s="12" t="n"/>
      <c r="AJ80" s="14">
        <f>IF(A80="","",IF(OR(C80="Major",C80="Systemic"),4,IF(C80="Minor",1,0))+IF(AND(Y80="",S80&lt;&gt;"",TODAY()&gt;S80),3,0)+IF(AB80="Yes",3,0)+IF(AG80="Yes",2,0)+IF(AND(Y80="",AE80&gt;=14),2,0)+IF(AND(Y80="",AD80&gt;=100000),2,0)+IF(AND(Y80&lt;&gt;"",V80=""),3,0)+IF(AND(Y80&lt;&gt;"",X80=""),2,0)+IF(AND(Y80&lt;&gt;"",Z80&gt;90),1,0))</f>
        <v/>
      </c>
      <c r="AK80" s="14">
        <f>IF(AJ80="","",IF(AJ80&gt;=10,"CRITICAL",IF(AJ80&gt;=6,"HIGH",IF(AJ80&gt;=3,"WATCH","LOW"))))</f>
        <v/>
      </c>
      <c r="AL80" s="20">
        <f>IF(AJ80="","",TRIM(IF(OR(C80="Major",C80="Systemic"),"major or systemic; ","")&amp;IF(AND(Y80="",S80&lt;&gt;"",TODAY()&gt;S80),"open past agreed date; ","")&amp;IF(AB80="Yes","authority or NOC linked; ","")&amp;IF(AG80="Yes","repeat of a previous NCR; ","")&amp;IF(AND(Y80="",AE80&gt;=14),"programme impact 14 days or more; ","")&amp;IF(AND(Y80="",AD80&gt;=100000),"cost impact AED 100,000 or more; ","")&amp;IF(AND(Y80&lt;&gt;"",V80=""),"closed with no verification date; ","")&amp;IF(AND(Y80&lt;&gt;"",X80=""),"closed without a closure certificate; ","")&amp;IF(AND(Y80&lt;&gt;"",Z80&gt;90),"closed more than 90 days after raising; ","")))</f>
        <v/>
      </c>
    </row>
    <row r="81">
      <c r="A81" s="10" t="n"/>
      <c r="B81" s="11" t="n"/>
      <c r="C81" s="12" t="n"/>
      <c r="D81" s="12" t="n"/>
      <c r="E81" s="12" t="n"/>
      <c r="F81" s="13" t="n"/>
      <c r="G81" s="13" t="n"/>
      <c r="H81" s="13" t="n"/>
      <c r="I81" s="13" t="n"/>
      <c r="J81" s="13" t="n"/>
      <c r="K81" s="13" t="n"/>
      <c r="L81" s="13" t="n"/>
      <c r="M81" s="11" t="n"/>
      <c r="N81" s="11" t="n"/>
      <c r="O81" s="12" t="n"/>
      <c r="P81" s="13" t="n"/>
      <c r="Q81" s="13" t="n"/>
      <c r="R81" s="13" t="n"/>
      <c r="S81" s="11" t="n"/>
      <c r="T81" s="11" t="n"/>
      <c r="U81" s="13" t="n"/>
      <c r="V81" s="11" t="n"/>
      <c r="W81" s="12" t="n"/>
      <c r="X81" s="12" t="n"/>
      <c r="Y81" s="11" t="n"/>
      <c r="Z81" s="14">
        <f>IF(A81="","",IF(Y81&lt;&gt;"",Y81-B81,TODAY()-B81))</f>
        <v/>
      </c>
      <c r="AA81" s="14">
        <f>IF(A81="","",IF(AND(Y81="",TODAY()&gt;S81),"OVERDUE",IF(AND(Y81&lt;&gt;"",Y81&gt;S81),"CLOSED LATE","")))</f>
        <v/>
      </c>
      <c r="AB81" s="12" t="n"/>
      <c r="AC81" s="13" t="n"/>
      <c r="AD81" s="21" t="n"/>
      <c r="AE81" s="12" t="n"/>
      <c r="AF81" s="14">
        <f>IF(A81="","",IF(Y81&lt;&gt;"","Closed",IF(TODAY()&gt;S81,"Overdue","Open")))</f>
        <v/>
      </c>
      <c r="AG81" s="12" t="n"/>
      <c r="AH81" s="13" t="n"/>
      <c r="AI81" s="12" t="n"/>
      <c r="AJ81" s="14">
        <f>IF(A81="","",IF(OR(C81="Major",C81="Systemic"),4,IF(C81="Minor",1,0))+IF(AND(Y81="",S81&lt;&gt;"",TODAY()&gt;S81),3,0)+IF(AB81="Yes",3,0)+IF(AG81="Yes",2,0)+IF(AND(Y81="",AE81&gt;=14),2,0)+IF(AND(Y81="",AD81&gt;=100000),2,0)+IF(AND(Y81&lt;&gt;"",V81=""),3,0)+IF(AND(Y81&lt;&gt;"",X81=""),2,0)+IF(AND(Y81&lt;&gt;"",Z81&gt;90),1,0))</f>
        <v/>
      </c>
      <c r="AK81" s="14">
        <f>IF(AJ81="","",IF(AJ81&gt;=10,"CRITICAL",IF(AJ81&gt;=6,"HIGH",IF(AJ81&gt;=3,"WATCH","LOW"))))</f>
        <v/>
      </c>
      <c r="AL81" s="20">
        <f>IF(AJ81="","",TRIM(IF(OR(C81="Major",C81="Systemic"),"major or systemic; ","")&amp;IF(AND(Y81="",S81&lt;&gt;"",TODAY()&gt;S81),"open past agreed date; ","")&amp;IF(AB81="Yes","authority or NOC linked; ","")&amp;IF(AG81="Yes","repeat of a previous NCR; ","")&amp;IF(AND(Y81="",AE81&gt;=14),"programme impact 14 days or more; ","")&amp;IF(AND(Y81="",AD81&gt;=100000),"cost impact AED 100,000 or more; ","")&amp;IF(AND(Y81&lt;&gt;"",V81=""),"closed with no verification date; ","")&amp;IF(AND(Y81&lt;&gt;"",X81=""),"closed without a closure certificate; ","")&amp;IF(AND(Y81&lt;&gt;"",Z81&gt;90),"closed more than 90 days after raising; ","")))</f>
        <v/>
      </c>
    </row>
    <row r="82">
      <c r="A82" s="10" t="n"/>
      <c r="B82" s="11" t="n"/>
      <c r="C82" s="12" t="n"/>
      <c r="D82" s="12" t="n"/>
      <c r="E82" s="12" t="n"/>
      <c r="F82" s="13" t="n"/>
      <c r="G82" s="13" t="n"/>
      <c r="H82" s="13" t="n"/>
      <c r="I82" s="13" t="n"/>
      <c r="J82" s="13" t="n"/>
      <c r="K82" s="13" t="n"/>
      <c r="L82" s="13" t="n"/>
      <c r="M82" s="11" t="n"/>
      <c r="N82" s="11" t="n"/>
      <c r="O82" s="12" t="n"/>
      <c r="P82" s="13" t="n"/>
      <c r="Q82" s="13" t="n"/>
      <c r="R82" s="13" t="n"/>
      <c r="S82" s="11" t="n"/>
      <c r="T82" s="11" t="n"/>
      <c r="U82" s="13" t="n"/>
      <c r="V82" s="11" t="n"/>
      <c r="W82" s="12" t="n"/>
      <c r="X82" s="12" t="n"/>
      <c r="Y82" s="11" t="n"/>
      <c r="Z82" s="14">
        <f>IF(A82="","",IF(Y82&lt;&gt;"",Y82-B82,TODAY()-B82))</f>
        <v/>
      </c>
      <c r="AA82" s="14">
        <f>IF(A82="","",IF(AND(Y82="",TODAY()&gt;S82),"OVERDUE",IF(AND(Y82&lt;&gt;"",Y82&gt;S82),"CLOSED LATE","")))</f>
        <v/>
      </c>
      <c r="AB82" s="12" t="n"/>
      <c r="AC82" s="13" t="n"/>
      <c r="AD82" s="21" t="n"/>
      <c r="AE82" s="12" t="n"/>
      <c r="AF82" s="14">
        <f>IF(A82="","",IF(Y82&lt;&gt;"","Closed",IF(TODAY()&gt;S82,"Overdue","Open")))</f>
        <v/>
      </c>
      <c r="AG82" s="12" t="n"/>
      <c r="AH82" s="13" t="n"/>
      <c r="AI82" s="12" t="n"/>
      <c r="AJ82" s="14">
        <f>IF(A82="","",IF(OR(C82="Major",C82="Systemic"),4,IF(C82="Minor",1,0))+IF(AND(Y82="",S82&lt;&gt;"",TODAY()&gt;S82),3,0)+IF(AB82="Yes",3,0)+IF(AG82="Yes",2,0)+IF(AND(Y82="",AE82&gt;=14),2,0)+IF(AND(Y82="",AD82&gt;=100000),2,0)+IF(AND(Y82&lt;&gt;"",V82=""),3,0)+IF(AND(Y82&lt;&gt;"",X82=""),2,0)+IF(AND(Y82&lt;&gt;"",Z82&gt;90),1,0))</f>
        <v/>
      </c>
      <c r="AK82" s="14">
        <f>IF(AJ82="","",IF(AJ82&gt;=10,"CRITICAL",IF(AJ82&gt;=6,"HIGH",IF(AJ82&gt;=3,"WATCH","LOW"))))</f>
        <v/>
      </c>
      <c r="AL82" s="20">
        <f>IF(AJ82="","",TRIM(IF(OR(C82="Major",C82="Systemic"),"major or systemic; ","")&amp;IF(AND(Y82="",S82&lt;&gt;"",TODAY()&gt;S82),"open past agreed date; ","")&amp;IF(AB82="Yes","authority or NOC linked; ","")&amp;IF(AG82="Yes","repeat of a previous NCR; ","")&amp;IF(AND(Y82="",AE82&gt;=14),"programme impact 14 days or more; ","")&amp;IF(AND(Y82="",AD82&gt;=100000),"cost impact AED 100,000 or more; ","")&amp;IF(AND(Y82&lt;&gt;"",V82=""),"closed with no verification date; ","")&amp;IF(AND(Y82&lt;&gt;"",X82=""),"closed without a closure certificate; ","")&amp;IF(AND(Y82&lt;&gt;"",Z82&gt;90),"closed more than 90 days after raising; ","")))</f>
        <v/>
      </c>
    </row>
    <row r="83">
      <c r="A83" s="10" t="n"/>
      <c r="B83" s="11" t="n"/>
      <c r="C83" s="12" t="n"/>
      <c r="D83" s="12" t="n"/>
      <c r="E83" s="12" t="n"/>
      <c r="F83" s="13" t="n"/>
      <c r="G83" s="13" t="n"/>
      <c r="H83" s="13" t="n"/>
      <c r="I83" s="13" t="n"/>
      <c r="J83" s="13" t="n"/>
      <c r="K83" s="13" t="n"/>
      <c r="L83" s="13" t="n"/>
      <c r="M83" s="11" t="n"/>
      <c r="N83" s="11" t="n"/>
      <c r="O83" s="12" t="n"/>
      <c r="P83" s="13" t="n"/>
      <c r="Q83" s="13" t="n"/>
      <c r="R83" s="13" t="n"/>
      <c r="S83" s="11" t="n"/>
      <c r="T83" s="11" t="n"/>
      <c r="U83" s="13" t="n"/>
      <c r="V83" s="11" t="n"/>
      <c r="W83" s="12" t="n"/>
      <c r="X83" s="12" t="n"/>
      <c r="Y83" s="11" t="n"/>
      <c r="Z83" s="14">
        <f>IF(A83="","",IF(Y83&lt;&gt;"",Y83-B83,TODAY()-B83))</f>
        <v/>
      </c>
      <c r="AA83" s="14">
        <f>IF(A83="","",IF(AND(Y83="",TODAY()&gt;S83),"OVERDUE",IF(AND(Y83&lt;&gt;"",Y83&gt;S83),"CLOSED LATE","")))</f>
        <v/>
      </c>
      <c r="AB83" s="12" t="n"/>
      <c r="AC83" s="13" t="n"/>
      <c r="AD83" s="21" t="n"/>
      <c r="AE83" s="12" t="n"/>
      <c r="AF83" s="14">
        <f>IF(A83="","",IF(Y83&lt;&gt;"","Closed",IF(TODAY()&gt;S83,"Overdue","Open")))</f>
        <v/>
      </c>
      <c r="AG83" s="12" t="n"/>
      <c r="AH83" s="13" t="n"/>
      <c r="AI83" s="12" t="n"/>
      <c r="AJ83" s="14">
        <f>IF(A83="","",IF(OR(C83="Major",C83="Systemic"),4,IF(C83="Minor",1,0))+IF(AND(Y83="",S83&lt;&gt;"",TODAY()&gt;S83),3,0)+IF(AB83="Yes",3,0)+IF(AG83="Yes",2,0)+IF(AND(Y83="",AE83&gt;=14),2,0)+IF(AND(Y83="",AD83&gt;=100000),2,0)+IF(AND(Y83&lt;&gt;"",V83=""),3,0)+IF(AND(Y83&lt;&gt;"",X83=""),2,0)+IF(AND(Y83&lt;&gt;"",Z83&gt;90),1,0))</f>
        <v/>
      </c>
      <c r="AK83" s="14">
        <f>IF(AJ83="","",IF(AJ83&gt;=10,"CRITICAL",IF(AJ83&gt;=6,"HIGH",IF(AJ83&gt;=3,"WATCH","LOW"))))</f>
        <v/>
      </c>
      <c r="AL83" s="20">
        <f>IF(AJ83="","",TRIM(IF(OR(C83="Major",C83="Systemic"),"major or systemic; ","")&amp;IF(AND(Y83="",S83&lt;&gt;"",TODAY()&gt;S83),"open past agreed date; ","")&amp;IF(AB83="Yes","authority or NOC linked; ","")&amp;IF(AG83="Yes","repeat of a previous NCR; ","")&amp;IF(AND(Y83="",AE83&gt;=14),"programme impact 14 days or more; ","")&amp;IF(AND(Y83="",AD83&gt;=100000),"cost impact AED 100,000 or more; ","")&amp;IF(AND(Y83&lt;&gt;"",V83=""),"closed with no verification date; ","")&amp;IF(AND(Y83&lt;&gt;"",X83=""),"closed without a closure certificate; ","")&amp;IF(AND(Y83&lt;&gt;"",Z83&gt;90),"closed more than 90 days after raising; ","")))</f>
        <v/>
      </c>
    </row>
    <row r="84">
      <c r="A84" s="10" t="n"/>
      <c r="B84" s="11" t="n"/>
      <c r="C84" s="12" t="n"/>
      <c r="D84" s="12" t="n"/>
      <c r="E84" s="12" t="n"/>
      <c r="F84" s="13" t="n"/>
      <c r="G84" s="13" t="n"/>
      <c r="H84" s="13" t="n"/>
      <c r="I84" s="13" t="n"/>
      <c r="J84" s="13" t="n"/>
      <c r="K84" s="13" t="n"/>
      <c r="L84" s="13" t="n"/>
      <c r="M84" s="11" t="n"/>
      <c r="N84" s="11" t="n"/>
      <c r="O84" s="12" t="n"/>
      <c r="P84" s="13" t="n"/>
      <c r="Q84" s="13" t="n"/>
      <c r="R84" s="13" t="n"/>
      <c r="S84" s="11" t="n"/>
      <c r="T84" s="11" t="n"/>
      <c r="U84" s="13" t="n"/>
      <c r="V84" s="11" t="n"/>
      <c r="W84" s="12" t="n"/>
      <c r="X84" s="12" t="n"/>
      <c r="Y84" s="11" t="n"/>
      <c r="Z84" s="14">
        <f>IF(A84="","",IF(Y84&lt;&gt;"",Y84-B84,TODAY()-B84))</f>
        <v/>
      </c>
      <c r="AA84" s="14">
        <f>IF(A84="","",IF(AND(Y84="",TODAY()&gt;S84),"OVERDUE",IF(AND(Y84&lt;&gt;"",Y84&gt;S84),"CLOSED LATE","")))</f>
        <v/>
      </c>
      <c r="AB84" s="12" t="n"/>
      <c r="AC84" s="13" t="n"/>
      <c r="AD84" s="21" t="n"/>
      <c r="AE84" s="12" t="n"/>
      <c r="AF84" s="14">
        <f>IF(A84="","",IF(Y84&lt;&gt;"","Closed",IF(TODAY()&gt;S84,"Overdue","Open")))</f>
        <v/>
      </c>
      <c r="AG84" s="12" t="n"/>
      <c r="AH84" s="13" t="n"/>
      <c r="AI84" s="12" t="n"/>
      <c r="AJ84" s="14">
        <f>IF(A84="","",IF(OR(C84="Major",C84="Systemic"),4,IF(C84="Minor",1,0))+IF(AND(Y84="",S84&lt;&gt;"",TODAY()&gt;S84),3,0)+IF(AB84="Yes",3,0)+IF(AG84="Yes",2,0)+IF(AND(Y84="",AE84&gt;=14),2,0)+IF(AND(Y84="",AD84&gt;=100000),2,0)+IF(AND(Y84&lt;&gt;"",V84=""),3,0)+IF(AND(Y84&lt;&gt;"",X84=""),2,0)+IF(AND(Y84&lt;&gt;"",Z84&gt;90),1,0))</f>
        <v/>
      </c>
      <c r="AK84" s="14">
        <f>IF(AJ84="","",IF(AJ84&gt;=10,"CRITICAL",IF(AJ84&gt;=6,"HIGH",IF(AJ84&gt;=3,"WATCH","LOW"))))</f>
        <v/>
      </c>
      <c r="AL84" s="20">
        <f>IF(AJ84="","",TRIM(IF(OR(C84="Major",C84="Systemic"),"major or systemic; ","")&amp;IF(AND(Y84="",S84&lt;&gt;"",TODAY()&gt;S84),"open past agreed date; ","")&amp;IF(AB84="Yes","authority or NOC linked; ","")&amp;IF(AG84="Yes","repeat of a previous NCR; ","")&amp;IF(AND(Y84="",AE84&gt;=14),"programme impact 14 days or more; ","")&amp;IF(AND(Y84="",AD84&gt;=100000),"cost impact AED 100,000 or more; ","")&amp;IF(AND(Y84&lt;&gt;"",V84=""),"closed with no verification date; ","")&amp;IF(AND(Y84&lt;&gt;"",X84=""),"closed without a closure certificate; ","")&amp;IF(AND(Y84&lt;&gt;"",Z84&gt;90),"closed more than 90 days after raising; ","")))</f>
        <v/>
      </c>
    </row>
    <row r="85">
      <c r="A85" s="10" t="n"/>
      <c r="B85" s="11" t="n"/>
      <c r="C85" s="12" t="n"/>
      <c r="D85" s="12" t="n"/>
      <c r="E85" s="12" t="n"/>
      <c r="F85" s="13" t="n"/>
      <c r="G85" s="13" t="n"/>
      <c r="H85" s="13" t="n"/>
      <c r="I85" s="13" t="n"/>
      <c r="J85" s="13" t="n"/>
      <c r="K85" s="13" t="n"/>
      <c r="L85" s="13" t="n"/>
      <c r="M85" s="11" t="n"/>
      <c r="N85" s="11" t="n"/>
      <c r="O85" s="12" t="n"/>
      <c r="P85" s="13" t="n"/>
      <c r="Q85" s="13" t="n"/>
      <c r="R85" s="13" t="n"/>
      <c r="S85" s="11" t="n"/>
      <c r="T85" s="11" t="n"/>
      <c r="U85" s="13" t="n"/>
      <c r="V85" s="11" t="n"/>
      <c r="W85" s="12" t="n"/>
      <c r="X85" s="12" t="n"/>
      <c r="Y85" s="11" t="n"/>
      <c r="Z85" s="14">
        <f>IF(A85="","",IF(Y85&lt;&gt;"",Y85-B85,TODAY()-B85))</f>
        <v/>
      </c>
      <c r="AA85" s="14">
        <f>IF(A85="","",IF(AND(Y85="",TODAY()&gt;S85),"OVERDUE",IF(AND(Y85&lt;&gt;"",Y85&gt;S85),"CLOSED LATE","")))</f>
        <v/>
      </c>
      <c r="AB85" s="12" t="n"/>
      <c r="AC85" s="13" t="n"/>
      <c r="AD85" s="21" t="n"/>
      <c r="AE85" s="12" t="n"/>
      <c r="AF85" s="14">
        <f>IF(A85="","",IF(Y85&lt;&gt;"","Closed",IF(TODAY()&gt;S85,"Overdue","Open")))</f>
        <v/>
      </c>
      <c r="AG85" s="12" t="n"/>
      <c r="AH85" s="13" t="n"/>
      <c r="AI85" s="12" t="n"/>
      <c r="AJ85" s="14">
        <f>IF(A85="","",IF(OR(C85="Major",C85="Systemic"),4,IF(C85="Minor",1,0))+IF(AND(Y85="",S85&lt;&gt;"",TODAY()&gt;S85),3,0)+IF(AB85="Yes",3,0)+IF(AG85="Yes",2,0)+IF(AND(Y85="",AE85&gt;=14),2,0)+IF(AND(Y85="",AD85&gt;=100000),2,0)+IF(AND(Y85&lt;&gt;"",V85=""),3,0)+IF(AND(Y85&lt;&gt;"",X85=""),2,0)+IF(AND(Y85&lt;&gt;"",Z85&gt;90),1,0))</f>
        <v/>
      </c>
      <c r="AK85" s="14">
        <f>IF(AJ85="","",IF(AJ85&gt;=10,"CRITICAL",IF(AJ85&gt;=6,"HIGH",IF(AJ85&gt;=3,"WATCH","LOW"))))</f>
        <v/>
      </c>
      <c r="AL85" s="20">
        <f>IF(AJ85="","",TRIM(IF(OR(C85="Major",C85="Systemic"),"major or systemic; ","")&amp;IF(AND(Y85="",S85&lt;&gt;"",TODAY()&gt;S85),"open past agreed date; ","")&amp;IF(AB85="Yes","authority or NOC linked; ","")&amp;IF(AG85="Yes","repeat of a previous NCR; ","")&amp;IF(AND(Y85="",AE85&gt;=14),"programme impact 14 days or more; ","")&amp;IF(AND(Y85="",AD85&gt;=100000),"cost impact AED 100,000 or more; ","")&amp;IF(AND(Y85&lt;&gt;"",V85=""),"closed with no verification date; ","")&amp;IF(AND(Y85&lt;&gt;"",X85=""),"closed without a closure certificate; ","")&amp;IF(AND(Y85&lt;&gt;"",Z85&gt;90),"closed more than 90 days after raising; ","")))</f>
        <v/>
      </c>
    </row>
    <row r="86">
      <c r="A86" s="10" t="n"/>
      <c r="B86" s="11" t="n"/>
      <c r="C86" s="12" t="n"/>
      <c r="D86" s="12" t="n"/>
      <c r="E86" s="12" t="n"/>
      <c r="F86" s="13" t="n"/>
      <c r="G86" s="13" t="n"/>
      <c r="H86" s="13" t="n"/>
      <c r="I86" s="13" t="n"/>
      <c r="J86" s="13" t="n"/>
      <c r="K86" s="13" t="n"/>
      <c r="L86" s="13" t="n"/>
      <c r="M86" s="11" t="n"/>
      <c r="N86" s="11" t="n"/>
      <c r="O86" s="12" t="n"/>
      <c r="P86" s="13" t="n"/>
      <c r="Q86" s="13" t="n"/>
      <c r="R86" s="13" t="n"/>
      <c r="S86" s="11" t="n"/>
      <c r="T86" s="11" t="n"/>
      <c r="U86" s="13" t="n"/>
      <c r="V86" s="11" t="n"/>
      <c r="W86" s="12" t="n"/>
      <c r="X86" s="12" t="n"/>
      <c r="Y86" s="11" t="n"/>
      <c r="Z86" s="14">
        <f>IF(A86="","",IF(Y86&lt;&gt;"",Y86-B86,TODAY()-B86))</f>
        <v/>
      </c>
      <c r="AA86" s="14">
        <f>IF(A86="","",IF(AND(Y86="",TODAY()&gt;S86),"OVERDUE",IF(AND(Y86&lt;&gt;"",Y86&gt;S86),"CLOSED LATE","")))</f>
        <v/>
      </c>
      <c r="AB86" s="12" t="n"/>
      <c r="AC86" s="13" t="n"/>
      <c r="AD86" s="21" t="n"/>
      <c r="AE86" s="12" t="n"/>
      <c r="AF86" s="14">
        <f>IF(A86="","",IF(Y86&lt;&gt;"","Closed",IF(TODAY()&gt;S86,"Overdue","Open")))</f>
        <v/>
      </c>
      <c r="AG86" s="12" t="n"/>
      <c r="AH86" s="13" t="n"/>
      <c r="AI86" s="12" t="n"/>
      <c r="AJ86" s="14">
        <f>IF(A86="","",IF(OR(C86="Major",C86="Systemic"),4,IF(C86="Minor",1,0))+IF(AND(Y86="",S86&lt;&gt;"",TODAY()&gt;S86),3,0)+IF(AB86="Yes",3,0)+IF(AG86="Yes",2,0)+IF(AND(Y86="",AE86&gt;=14),2,0)+IF(AND(Y86="",AD86&gt;=100000),2,0)+IF(AND(Y86&lt;&gt;"",V86=""),3,0)+IF(AND(Y86&lt;&gt;"",X86=""),2,0)+IF(AND(Y86&lt;&gt;"",Z86&gt;90),1,0))</f>
        <v/>
      </c>
      <c r="AK86" s="14">
        <f>IF(AJ86="","",IF(AJ86&gt;=10,"CRITICAL",IF(AJ86&gt;=6,"HIGH",IF(AJ86&gt;=3,"WATCH","LOW"))))</f>
        <v/>
      </c>
      <c r="AL86" s="20">
        <f>IF(AJ86="","",TRIM(IF(OR(C86="Major",C86="Systemic"),"major or systemic; ","")&amp;IF(AND(Y86="",S86&lt;&gt;"",TODAY()&gt;S86),"open past agreed date; ","")&amp;IF(AB86="Yes","authority or NOC linked; ","")&amp;IF(AG86="Yes","repeat of a previous NCR; ","")&amp;IF(AND(Y86="",AE86&gt;=14),"programme impact 14 days or more; ","")&amp;IF(AND(Y86="",AD86&gt;=100000),"cost impact AED 100,000 or more; ","")&amp;IF(AND(Y86&lt;&gt;"",V86=""),"closed with no verification date; ","")&amp;IF(AND(Y86&lt;&gt;"",X86=""),"closed without a closure certificate; ","")&amp;IF(AND(Y86&lt;&gt;"",Z86&gt;90),"closed more than 90 days after raising; ","")))</f>
        <v/>
      </c>
    </row>
    <row r="87">
      <c r="A87" s="10" t="n"/>
      <c r="B87" s="11" t="n"/>
      <c r="C87" s="12" t="n"/>
      <c r="D87" s="12" t="n"/>
      <c r="E87" s="12" t="n"/>
      <c r="F87" s="13" t="n"/>
      <c r="G87" s="13" t="n"/>
      <c r="H87" s="13" t="n"/>
      <c r="I87" s="13" t="n"/>
      <c r="J87" s="13" t="n"/>
      <c r="K87" s="13" t="n"/>
      <c r="L87" s="13" t="n"/>
      <c r="M87" s="11" t="n"/>
      <c r="N87" s="11" t="n"/>
      <c r="O87" s="12" t="n"/>
      <c r="P87" s="13" t="n"/>
      <c r="Q87" s="13" t="n"/>
      <c r="R87" s="13" t="n"/>
      <c r="S87" s="11" t="n"/>
      <c r="T87" s="11" t="n"/>
      <c r="U87" s="13" t="n"/>
      <c r="V87" s="11" t="n"/>
      <c r="W87" s="12" t="n"/>
      <c r="X87" s="12" t="n"/>
      <c r="Y87" s="11" t="n"/>
      <c r="Z87" s="14">
        <f>IF(A87="","",IF(Y87&lt;&gt;"",Y87-B87,TODAY()-B87))</f>
        <v/>
      </c>
      <c r="AA87" s="14">
        <f>IF(A87="","",IF(AND(Y87="",TODAY()&gt;S87),"OVERDUE",IF(AND(Y87&lt;&gt;"",Y87&gt;S87),"CLOSED LATE","")))</f>
        <v/>
      </c>
      <c r="AB87" s="12" t="n"/>
      <c r="AC87" s="13" t="n"/>
      <c r="AD87" s="21" t="n"/>
      <c r="AE87" s="12" t="n"/>
      <c r="AF87" s="14">
        <f>IF(A87="","",IF(Y87&lt;&gt;"","Closed",IF(TODAY()&gt;S87,"Overdue","Open")))</f>
        <v/>
      </c>
      <c r="AG87" s="12" t="n"/>
      <c r="AH87" s="13" t="n"/>
      <c r="AI87" s="12" t="n"/>
      <c r="AJ87" s="14">
        <f>IF(A87="","",IF(OR(C87="Major",C87="Systemic"),4,IF(C87="Minor",1,0))+IF(AND(Y87="",S87&lt;&gt;"",TODAY()&gt;S87),3,0)+IF(AB87="Yes",3,0)+IF(AG87="Yes",2,0)+IF(AND(Y87="",AE87&gt;=14),2,0)+IF(AND(Y87="",AD87&gt;=100000),2,0)+IF(AND(Y87&lt;&gt;"",V87=""),3,0)+IF(AND(Y87&lt;&gt;"",X87=""),2,0)+IF(AND(Y87&lt;&gt;"",Z87&gt;90),1,0))</f>
        <v/>
      </c>
      <c r="AK87" s="14">
        <f>IF(AJ87="","",IF(AJ87&gt;=10,"CRITICAL",IF(AJ87&gt;=6,"HIGH",IF(AJ87&gt;=3,"WATCH","LOW"))))</f>
        <v/>
      </c>
      <c r="AL87" s="20">
        <f>IF(AJ87="","",TRIM(IF(OR(C87="Major",C87="Systemic"),"major or systemic; ","")&amp;IF(AND(Y87="",S87&lt;&gt;"",TODAY()&gt;S87),"open past agreed date; ","")&amp;IF(AB87="Yes","authority or NOC linked; ","")&amp;IF(AG87="Yes","repeat of a previous NCR; ","")&amp;IF(AND(Y87="",AE87&gt;=14),"programme impact 14 days or more; ","")&amp;IF(AND(Y87="",AD87&gt;=100000),"cost impact AED 100,000 or more; ","")&amp;IF(AND(Y87&lt;&gt;"",V87=""),"closed with no verification date; ","")&amp;IF(AND(Y87&lt;&gt;"",X87=""),"closed without a closure certificate; ","")&amp;IF(AND(Y87&lt;&gt;"",Z87&gt;90),"closed more than 90 days after raising; ","")))</f>
        <v/>
      </c>
    </row>
    <row r="88">
      <c r="A88" s="10" t="n"/>
      <c r="B88" s="11" t="n"/>
      <c r="C88" s="12" t="n"/>
      <c r="D88" s="12" t="n"/>
      <c r="E88" s="12" t="n"/>
      <c r="F88" s="13" t="n"/>
      <c r="G88" s="13" t="n"/>
      <c r="H88" s="13" t="n"/>
      <c r="I88" s="13" t="n"/>
      <c r="J88" s="13" t="n"/>
      <c r="K88" s="13" t="n"/>
      <c r="L88" s="13" t="n"/>
      <c r="M88" s="11" t="n"/>
      <c r="N88" s="11" t="n"/>
      <c r="O88" s="12" t="n"/>
      <c r="P88" s="13" t="n"/>
      <c r="Q88" s="13" t="n"/>
      <c r="R88" s="13" t="n"/>
      <c r="S88" s="11" t="n"/>
      <c r="T88" s="11" t="n"/>
      <c r="U88" s="13" t="n"/>
      <c r="V88" s="11" t="n"/>
      <c r="W88" s="12" t="n"/>
      <c r="X88" s="12" t="n"/>
      <c r="Y88" s="11" t="n"/>
      <c r="Z88" s="14">
        <f>IF(A88="","",IF(Y88&lt;&gt;"",Y88-B88,TODAY()-B88))</f>
        <v/>
      </c>
      <c r="AA88" s="14">
        <f>IF(A88="","",IF(AND(Y88="",TODAY()&gt;S88),"OVERDUE",IF(AND(Y88&lt;&gt;"",Y88&gt;S88),"CLOSED LATE","")))</f>
        <v/>
      </c>
      <c r="AB88" s="12" t="n"/>
      <c r="AC88" s="13" t="n"/>
      <c r="AD88" s="21" t="n"/>
      <c r="AE88" s="12" t="n"/>
      <c r="AF88" s="14">
        <f>IF(A88="","",IF(Y88&lt;&gt;"","Closed",IF(TODAY()&gt;S88,"Overdue","Open")))</f>
        <v/>
      </c>
      <c r="AG88" s="12" t="n"/>
      <c r="AH88" s="13" t="n"/>
      <c r="AI88" s="12" t="n"/>
      <c r="AJ88" s="14">
        <f>IF(A88="","",IF(OR(C88="Major",C88="Systemic"),4,IF(C88="Minor",1,0))+IF(AND(Y88="",S88&lt;&gt;"",TODAY()&gt;S88),3,0)+IF(AB88="Yes",3,0)+IF(AG88="Yes",2,0)+IF(AND(Y88="",AE88&gt;=14),2,0)+IF(AND(Y88="",AD88&gt;=100000),2,0)+IF(AND(Y88&lt;&gt;"",V88=""),3,0)+IF(AND(Y88&lt;&gt;"",X88=""),2,0)+IF(AND(Y88&lt;&gt;"",Z88&gt;90),1,0))</f>
        <v/>
      </c>
      <c r="AK88" s="14">
        <f>IF(AJ88="","",IF(AJ88&gt;=10,"CRITICAL",IF(AJ88&gt;=6,"HIGH",IF(AJ88&gt;=3,"WATCH","LOW"))))</f>
        <v/>
      </c>
      <c r="AL88" s="20">
        <f>IF(AJ88="","",TRIM(IF(OR(C88="Major",C88="Systemic"),"major or systemic; ","")&amp;IF(AND(Y88="",S88&lt;&gt;"",TODAY()&gt;S88),"open past agreed date; ","")&amp;IF(AB88="Yes","authority or NOC linked; ","")&amp;IF(AG88="Yes","repeat of a previous NCR; ","")&amp;IF(AND(Y88="",AE88&gt;=14),"programme impact 14 days or more; ","")&amp;IF(AND(Y88="",AD88&gt;=100000),"cost impact AED 100,000 or more; ","")&amp;IF(AND(Y88&lt;&gt;"",V88=""),"closed with no verification date; ","")&amp;IF(AND(Y88&lt;&gt;"",X88=""),"closed without a closure certificate; ","")&amp;IF(AND(Y88&lt;&gt;"",Z88&gt;90),"closed more than 90 days after raising; ","")))</f>
        <v/>
      </c>
    </row>
    <row r="89">
      <c r="A89" s="10" t="n"/>
      <c r="B89" s="11" t="n"/>
      <c r="C89" s="12" t="n"/>
      <c r="D89" s="12" t="n"/>
      <c r="E89" s="12" t="n"/>
      <c r="F89" s="13" t="n"/>
      <c r="G89" s="13" t="n"/>
      <c r="H89" s="13" t="n"/>
      <c r="I89" s="13" t="n"/>
      <c r="J89" s="13" t="n"/>
      <c r="K89" s="13" t="n"/>
      <c r="L89" s="13" t="n"/>
      <c r="M89" s="11" t="n"/>
      <c r="N89" s="11" t="n"/>
      <c r="O89" s="12" t="n"/>
      <c r="P89" s="13" t="n"/>
      <c r="Q89" s="13" t="n"/>
      <c r="R89" s="13" t="n"/>
      <c r="S89" s="11" t="n"/>
      <c r="T89" s="11" t="n"/>
      <c r="U89" s="13" t="n"/>
      <c r="V89" s="11" t="n"/>
      <c r="W89" s="12" t="n"/>
      <c r="X89" s="12" t="n"/>
      <c r="Y89" s="11" t="n"/>
      <c r="Z89" s="14">
        <f>IF(A89="","",IF(Y89&lt;&gt;"",Y89-B89,TODAY()-B89))</f>
        <v/>
      </c>
      <c r="AA89" s="14">
        <f>IF(A89="","",IF(AND(Y89="",TODAY()&gt;S89),"OVERDUE",IF(AND(Y89&lt;&gt;"",Y89&gt;S89),"CLOSED LATE","")))</f>
        <v/>
      </c>
      <c r="AB89" s="12" t="n"/>
      <c r="AC89" s="13" t="n"/>
      <c r="AD89" s="21" t="n"/>
      <c r="AE89" s="12" t="n"/>
      <c r="AF89" s="14">
        <f>IF(A89="","",IF(Y89&lt;&gt;"","Closed",IF(TODAY()&gt;S89,"Overdue","Open")))</f>
        <v/>
      </c>
      <c r="AG89" s="12" t="n"/>
      <c r="AH89" s="13" t="n"/>
      <c r="AI89" s="12" t="n"/>
      <c r="AJ89" s="14">
        <f>IF(A89="","",IF(OR(C89="Major",C89="Systemic"),4,IF(C89="Minor",1,0))+IF(AND(Y89="",S89&lt;&gt;"",TODAY()&gt;S89),3,0)+IF(AB89="Yes",3,0)+IF(AG89="Yes",2,0)+IF(AND(Y89="",AE89&gt;=14),2,0)+IF(AND(Y89="",AD89&gt;=100000),2,0)+IF(AND(Y89&lt;&gt;"",V89=""),3,0)+IF(AND(Y89&lt;&gt;"",X89=""),2,0)+IF(AND(Y89&lt;&gt;"",Z89&gt;90),1,0))</f>
        <v/>
      </c>
      <c r="AK89" s="14">
        <f>IF(AJ89="","",IF(AJ89&gt;=10,"CRITICAL",IF(AJ89&gt;=6,"HIGH",IF(AJ89&gt;=3,"WATCH","LOW"))))</f>
        <v/>
      </c>
      <c r="AL89" s="20">
        <f>IF(AJ89="","",TRIM(IF(OR(C89="Major",C89="Systemic"),"major or systemic; ","")&amp;IF(AND(Y89="",S89&lt;&gt;"",TODAY()&gt;S89),"open past agreed date; ","")&amp;IF(AB89="Yes","authority or NOC linked; ","")&amp;IF(AG89="Yes","repeat of a previous NCR; ","")&amp;IF(AND(Y89="",AE89&gt;=14),"programme impact 14 days or more; ","")&amp;IF(AND(Y89="",AD89&gt;=100000),"cost impact AED 100,000 or more; ","")&amp;IF(AND(Y89&lt;&gt;"",V89=""),"closed with no verification date; ","")&amp;IF(AND(Y89&lt;&gt;"",X89=""),"closed without a closure certificate; ","")&amp;IF(AND(Y89&lt;&gt;"",Z89&gt;90),"closed more than 90 days after raising; ","")))</f>
        <v/>
      </c>
    </row>
    <row r="90">
      <c r="A90" s="10" t="n"/>
      <c r="B90" s="11" t="n"/>
      <c r="C90" s="12" t="n"/>
      <c r="D90" s="12" t="n"/>
      <c r="E90" s="12" t="n"/>
      <c r="F90" s="13" t="n"/>
      <c r="G90" s="13" t="n"/>
      <c r="H90" s="13" t="n"/>
      <c r="I90" s="13" t="n"/>
      <c r="J90" s="13" t="n"/>
      <c r="K90" s="13" t="n"/>
      <c r="L90" s="13" t="n"/>
      <c r="M90" s="11" t="n"/>
      <c r="N90" s="11" t="n"/>
      <c r="O90" s="12" t="n"/>
      <c r="P90" s="13" t="n"/>
      <c r="Q90" s="13" t="n"/>
      <c r="R90" s="13" t="n"/>
      <c r="S90" s="11" t="n"/>
      <c r="T90" s="11" t="n"/>
      <c r="U90" s="13" t="n"/>
      <c r="V90" s="11" t="n"/>
      <c r="W90" s="12" t="n"/>
      <c r="X90" s="12" t="n"/>
      <c r="Y90" s="11" t="n"/>
      <c r="Z90" s="14">
        <f>IF(A90="","",IF(Y90&lt;&gt;"",Y90-B90,TODAY()-B90))</f>
        <v/>
      </c>
      <c r="AA90" s="14">
        <f>IF(A90="","",IF(AND(Y90="",TODAY()&gt;S90),"OVERDUE",IF(AND(Y90&lt;&gt;"",Y90&gt;S90),"CLOSED LATE","")))</f>
        <v/>
      </c>
      <c r="AB90" s="12" t="n"/>
      <c r="AC90" s="13" t="n"/>
      <c r="AD90" s="21" t="n"/>
      <c r="AE90" s="12" t="n"/>
      <c r="AF90" s="14">
        <f>IF(A90="","",IF(Y90&lt;&gt;"","Closed",IF(TODAY()&gt;S90,"Overdue","Open")))</f>
        <v/>
      </c>
      <c r="AG90" s="12" t="n"/>
      <c r="AH90" s="13" t="n"/>
      <c r="AI90" s="12" t="n"/>
      <c r="AJ90" s="14">
        <f>IF(A90="","",IF(OR(C90="Major",C90="Systemic"),4,IF(C90="Minor",1,0))+IF(AND(Y90="",S90&lt;&gt;"",TODAY()&gt;S90),3,0)+IF(AB90="Yes",3,0)+IF(AG90="Yes",2,0)+IF(AND(Y90="",AE90&gt;=14),2,0)+IF(AND(Y90="",AD90&gt;=100000),2,0)+IF(AND(Y90&lt;&gt;"",V90=""),3,0)+IF(AND(Y90&lt;&gt;"",X90=""),2,0)+IF(AND(Y90&lt;&gt;"",Z90&gt;90),1,0))</f>
        <v/>
      </c>
      <c r="AK90" s="14">
        <f>IF(AJ90="","",IF(AJ90&gt;=10,"CRITICAL",IF(AJ90&gt;=6,"HIGH",IF(AJ90&gt;=3,"WATCH","LOW"))))</f>
        <v/>
      </c>
      <c r="AL90" s="20">
        <f>IF(AJ90="","",TRIM(IF(OR(C90="Major",C90="Systemic"),"major or systemic; ","")&amp;IF(AND(Y90="",S90&lt;&gt;"",TODAY()&gt;S90),"open past agreed date; ","")&amp;IF(AB90="Yes","authority or NOC linked; ","")&amp;IF(AG90="Yes","repeat of a previous NCR; ","")&amp;IF(AND(Y90="",AE90&gt;=14),"programme impact 14 days or more; ","")&amp;IF(AND(Y90="",AD90&gt;=100000),"cost impact AED 100,000 or more; ","")&amp;IF(AND(Y90&lt;&gt;"",V90=""),"closed with no verification date; ","")&amp;IF(AND(Y90&lt;&gt;"",X90=""),"closed without a closure certificate; ","")&amp;IF(AND(Y90&lt;&gt;"",Z90&gt;90),"closed more than 90 days after raising; ","")))</f>
        <v/>
      </c>
    </row>
    <row r="91">
      <c r="A91" s="10" t="n"/>
      <c r="B91" s="11" t="n"/>
      <c r="C91" s="12" t="n"/>
      <c r="D91" s="12" t="n"/>
      <c r="E91" s="12" t="n"/>
      <c r="F91" s="13" t="n"/>
      <c r="G91" s="13" t="n"/>
      <c r="H91" s="13" t="n"/>
      <c r="I91" s="13" t="n"/>
      <c r="J91" s="13" t="n"/>
      <c r="K91" s="13" t="n"/>
      <c r="L91" s="13" t="n"/>
      <c r="M91" s="11" t="n"/>
      <c r="N91" s="11" t="n"/>
      <c r="O91" s="12" t="n"/>
      <c r="P91" s="13" t="n"/>
      <c r="Q91" s="13" t="n"/>
      <c r="R91" s="13" t="n"/>
      <c r="S91" s="11" t="n"/>
      <c r="T91" s="11" t="n"/>
      <c r="U91" s="13" t="n"/>
      <c r="V91" s="11" t="n"/>
      <c r="W91" s="12" t="n"/>
      <c r="X91" s="12" t="n"/>
      <c r="Y91" s="11" t="n"/>
      <c r="Z91" s="14">
        <f>IF(A91="","",IF(Y91&lt;&gt;"",Y91-B91,TODAY()-B91))</f>
        <v/>
      </c>
      <c r="AA91" s="14">
        <f>IF(A91="","",IF(AND(Y91="",TODAY()&gt;S91),"OVERDUE",IF(AND(Y91&lt;&gt;"",Y91&gt;S91),"CLOSED LATE","")))</f>
        <v/>
      </c>
      <c r="AB91" s="12" t="n"/>
      <c r="AC91" s="13" t="n"/>
      <c r="AD91" s="21" t="n"/>
      <c r="AE91" s="12" t="n"/>
      <c r="AF91" s="14">
        <f>IF(A91="","",IF(Y91&lt;&gt;"","Closed",IF(TODAY()&gt;S91,"Overdue","Open")))</f>
        <v/>
      </c>
      <c r="AG91" s="12" t="n"/>
      <c r="AH91" s="13" t="n"/>
      <c r="AI91" s="12" t="n"/>
      <c r="AJ91" s="14">
        <f>IF(A91="","",IF(OR(C91="Major",C91="Systemic"),4,IF(C91="Minor",1,0))+IF(AND(Y91="",S91&lt;&gt;"",TODAY()&gt;S91),3,0)+IF(AB91="Yes",3,0)+IF(AG91="Yes",2,0)+IF(AND(Y91="",AE91&gt;=14),2,0)+IF(AND(Y91="",AD91&gt;=100000),2,0)+IF(AND(Y91&lt;&gt;"",V91=""),3,0)+IF(AND(Y91&lt;&gt;"",X91=""),2,0)+IF(AND(Y91&lt;&gt;"",Z91&gt;90),1,0))</f>
        <v/>
      </c>
      <c r="AK91" s="14">
        <f>IF(AJ91="","",IF(AJ91&gt;=10,"CRITICAL",IF(AJ91&gt;=6,"HIGH",IF(AJ91&gt;=3,"WATCH","LOW"))))</f>
        <v/>
      </c>
      <c r="AL91" s="20">
        <f>IF(AJ91="","",TRIM(IF(OR(C91="Major",C91="Systemic"),"major or systemic; ","")&amp;IF(AND(Y91="",S91&lt;&gt;"",TODAY()&gt;S91),"open past agreed date; ","")&amp;IF(AB91="Yes","authority or NOC linked; ","")&amp;IF(AG91="Yes","repeat of a previous NCR; ","")&amp;IF(AND(Y91="",AE91&gt;=14),"programme impact 14 days or more; ","")&amp;IF(AND(Y91="",AD91&gt;=100000),"cost impact AED 100,000 or more; ","")&amp;IF(AND(Y91&lt;&gt;"",V91=""),"closed with no verification date; ","")&amp;IF(AND(Y91&lt;&gt;"",X91=""),"closed without a closure certificate; ","")&amp;IF(AND(Y91&lt;&gt;"",Z91&gt;90),"closed more than 90 days after raising; ","")))</f>
        <v/>
      </c>
    </row>
    <row r="92">
      <c r="A92" s="10" t="n"/>
      <c r="B92" s="11" t="n"/>
      <c r="C92" s="12" t="n"/>
      <c r="D92" s="12" t="n"/>
      <c r="E92" s="12" t="n"/>
      <c r="F92" s="13" t="n"/>
      <c r="G92" s="13" t="n"/>
      <c r="H92" s="13" t="n"/>
      <c r="I92" s="13" t="n"/>
      <c r="J92" s="13" t="n"/>
      <c r="K92" s="13" t="n"/>
      <c r="L92" s="13" t="n"/>
      <c r="M92" s="11" t="n"/>
      <c r="N92" s="11" t="n"/>
      <c r="O92" s="12" t="n"/>
      <c r="P92" s="13" t="n"/>
      <c r="Q92" s="13" t="n"/>
      <c r="R92" s="13" t="n"/>
      <c r="S92" s="11" t="n"/>
      <c r="T92" s="11" t="n"/>
      <c r="U92" s="13" t="n"/>
      <c r="V92" s="11" t="n"/>
      <c r="W92" s="12" t="n"/>
      <c r="X92" s="12" t="n"/>
      <c r="Y92" s="11" t="n"/>
      <c r="Z92" s="14">
        <f>IF(A92="","",IF(Y92&lt;&gt;"",Y92-B92,TODAY()-B92))</f>
        <v/>
      </c>
      <c r="AA92" s="14">
        <f>IF(A92="","",IF(AND(Y92="",TODAY()&gt;S92),"OVERDUE",IF(AND(Y92&lt;&gt;"",Y92&gt;S92),"CLOSED LATE","")))</f>
        <v/>
      </c>
      <c r="AB92" s="12" t="n"/>
      <c r="AC92" s="13" t="n"/>
      <c r="AD92" s="21" t="n"/>
      <c r="AE92" s="12" t="n"/>
      <c r="AF92" s="14">
        <f>IF(A92="","",IF(Y92&lt;&gt;"","Closed",IF(TODAY()&gt;S92,"Overdue","Open")))</f>
        <v/>
      </c>
      <c r="AG92" s="12" t="n"/>
      <c r="AH92" s="13" t="n"/>
      <c r="AI92" s="12" t="n"/>
      <c r="AJ92" s="14">
        <f>IF(A92="","",IF(OR(C92="Major",C92="Systemic"),4,IF(C92="Minor",1,0))+IF(AND(Y92="",S92&lt;&gt;"",TODAY()&gt;S92),3,0)+IF(AB92="Yes",3,0)+IF(AG92="Yes",2,0)+IF(AND(Y92="",AE92&gt;=14),2,0)+IF(AND(Y92="",AD92&gt;=100000),2,0)+IF(AND(Y92&lt;&gt;"",V92=""),3,0)+IF(AND(Y92&lt;&gt;"",X92=""),2,0)+IF(AND(Y92&lt;&gt;"",Z92&gt;90),1,0))</f>
        <v/>
      </c>
      <c r="AK92" s="14">
        <f>IF(AJ92="","",IF(AJ92&gt;=10,"CRITICAL",IF(AJ92&gt;=6,"HIGH",IF(AJ92&gt;=3,"WATCH","LOW"))))</f>
        <v/>
      </c>
      <c r="AL92" s="20">
        <f>IF(AJ92="","",TRIM(IF(OR(C92="Major",C92="Systemic"),"major or systemic; ","")&amp;IF(AND(Y92="",S92&lt;&gt;"",TODAY()&gt;S92),"open past agreed date; ","")&amp;IF(AB92="Yes","authority or NOC linked; ","")&amp;IF(AG92="Yes","repeat of a previous NCR; ","")&amp;IF(AND(Y92="",AE92&gt;=14),"programme impact 14 days or more; ","")&amp;IF(AND(Y92="",AD92&gt;=100000),"cost impact AED 100,000 or more; ","")&amp;IF(AND(Y92&lt;&gt;"",V92=""),"closed with no verification date; ","")&amp;IF(AND(Y92&lt;&gt;"",X92=""),"closed without a closure certificate; ","")&amp;IF(AND(Y92&lt;&gt;"",Z92&gt;90),"closed more than 90 days after raising; ","")))</f>
        <v/>
      </c>
    </row>
    <row r="93">
      <c r="A93" s="10" t="n"/>
      <c r="B93" s="11" t="n"/>
      <c r="C93" s="12" t="n"/>
      <c r="D93" s="12" t="n"/>
      <c r="E93" s="12" t="n"/>
      <c r="F93" s="13" t="n"/>
      <c r="G93" s="13" t="n"/>
      <c r="H93" s="13" t="n"/>
      <c r="I93" s="13" t="n"/>
      <c r="J93" s="13" t="n"/>
      <c r="K93" s="13" t="n"/>
      <c r="L93" s="13" t="n"/>
      <c r="M93" s="11" t="n"/>
      <c r="N93" s="11" t="n"/>
      <c r="O93" s="12" t="n"/>
      <c r="P93" s="13" t="n"/>
      <c r="Q93" s="13" t="n"/>
      <c r="R93" s="13" t="n"/>
      <c r="S93" s="11" t="n"/>
      <c r="T93" s="11" t="n"/>
      <c r="U93" s="13" t="n"/>
      <c r="V93" s="11" t="n"/>
      <c r="W93" s="12" t="n"/>
      <c r="X93" s="12" t="n"/>
      <c r="Y93" s="11" t="n"/>
      <c r="Z93" s="14">
        <f>IF(A93="","",IF(Y93&lt;&gt;"",Y93-B93,TODAY()-B93))</f>
        <v/>
      </c>
      <c r="AA93" s="14">
        <f>IF(A93="","",IF(AND(Y93="",TODAY()&gt;S93),"OVERDUE",IF(AND(Y93&lt;&gt;"",Y93&gt;S93),"CLOSED LATE","")))</f>
        <v/>
      </c>
      <c r="AB93" s="12" t="n"/>
      <c r="AC93" s="13" t="n"/>
      <c r="AD93" s="21" t="n"/>
      <c r="AE93" s="12" t="n"/>
      <c r="AF93" s="14">
        <f>IF(A93="","",IF(Y93&lt;&gt;"","Closed",IF(TODAY()&gt;S93,"Overdue","Open")))</f>
        <v/>
      </c>
      <c r="AG93" s="12" t="n"/>
      <c r="AH93" s="13" t="n"/>
      <c r="AI93" s="12" t="n"/>
      <c r="AJ93" s="14">
        <f>IF(A93="","",IF(OR(C93="Major",C93="Systemic"),4,IF(C93="Minor",1,0))+IF(AND(Y93="",S93&lt;&gt;"",TODAY()&gt;S93),3,0)+IF(AB93="Yes",3,0)+IF(AG93="Yes",2,0)+IF(AND(Y93="",AE93&gt;=14),2,0)+IF(AND(Y93="",AD93&gt;=100000),2,0)+IF(AND(Y93&lt;&gt;"",V93=""),3,0)+IF(AND(Y93&lt;&gt;"",X93=""),2,0)+IF(AND(Y93&lt;&gt;"",Z93&gt;90),1,0))</f>
        <v/>
      </c>
      <c r="AK93" s="14">
        <f>IF(AJ93="","",IF(AJ93&gt;=10,"CRITICAL",IF(AJ93&gt;=6,"HIGH",IF(AJ93&gt;=3,"WATCH","LOW"))))</f>
        <v/>
      </c>
      <c r="AL93" s="20">
        <f>IF(AJ93="","",TRIM(IF(OR(C93="Major",C93="Systemic"),"major or systemic; ","")&amp;IF(AND(Y93="",S93&lt;&gt;"",TODAY()&gt;S93),"open past agreed date; ","")&amp;IF(AB93="Yes","authority or NOC linked; ","")&amp;IF(AG93="Yes","repeat of a previous NCR; ","")&amp;IF(AND(Y93="",AE93&gt;=14),"programme impact 14 days or more; ","")&amp;IF(AND(Y93="",AD93&gt;=100000),"cost impact AED 100,000 or more; ","")&amp;IF(AND(Y93&lt;&gt;"",V93=""),"closed with no verification date; ","")&amp;IF(AND(Y93&lt;&gt;"",X93=""),"closed without a closure certificate; ","")&amp;IF(AND(Y93&lt;&gt;"",Z93&gt;90),"closed more than 90 days after raising; ","")))</f>
        <v/>
      </c>
    </row>
    <row r="94">
      <c r="A94" s="10" t="n"/>
      <c r="B94" s="11" t="n"/>
      <c r="C94" s="12" t="n"/>
      <c r="D94" s="12" t="n"/>
      <c r="E94" s="12" t="n"/>
      <c r="F94" s="13" t="n"/>
      <c r="G94" s="13" t="n"/>
      <c r="H94" s="13" t="n"/>
      <c r="I94" s="13" t="n"/>
      <c r="J94" s="13" t="n"/>
      <c r="K94" s="13" t="n"/>
      <c r="L94" s="13" t="n"/>
      <c r="M94" s="11" t="n"/>
      <c r="N94" s="11" t="n"/>
      <c r="O94" s="12" t="n"/>
      <c r="P94" s="13" t="n"/>
      <c r="Q94" s="13" t="n"/>
      <c r="R94" s="13" t="n"/>
      <c r="S94" s="11" t="n"/>
      <c r="T94" s="11" t="n"/>
      <c r="U94" s="13" t="n"/>
      <c r="V94" s="11" t="n"/>
      <c r="W94" s="12" t="n"/>
      <c r="X94" s="12" t="n"/>
      <c r="Y94" s="11" t="n"/>
      <c r="Z94" s="14">
        <f>IF(A94="","",IF(Y94&lt;&gt;"",Y94-B94,TODAY()-B94))</f>
        <v/>
      </c>
      <c r="AA94" s="14">
        <f>IF(A94="","",IF(AND(Y94="",TODAY()&gt;S94),"OVERDUE",IF(AND(Y94&lt;&gt;"",Y94&gt;S94),"CLOSED LATE","")))</f>
        <v/>
      </c>
      <c r="AB94" s="12" t="n"/>
      <c r="AC94" s="13" t="n"/>
      <c r="AD94" s="21" t="n"/>
      <c r="AE94" s="12" t="n"/>
      <c r="AF94" s="14">
        <f>IF(A94="","",IF(Y94&lt;&gt;"","Closed",IF(TODAY()&gt;S94,"Overdue","Open")))</f>
        <v/>
      </c>
      <c r="AG94" s="12" t="n"/>
      <c r="AH94" s="13" t="n"/>
      <c r="AI94" s="12" t="n"/>
      <c r="AJ94" s="14">
        <f>IF(A94="","",IF(OR(C94="Major",C94="Systemic"),4,IF(C94="Minor",1,0))+IF(AND(Y94="",S94&lt;&gt;"",TODAY()&gt;S94),3,0)+IF(AB94="Yes",3,0)+IF(AG94="Yes",2,0)+IF(AND(Y94="",AE94&gt;=14),2,0)+IF(AND(Y94="",AD94&gt;=100000),2,0)+IF(AND(Y94&lt;&gt;"",V94=""),3,0)+IF(AND(Y94&lt;&gt;"",X94=""),2,0)+IF(AND(Y94&lt;&gt;"",Z94&gt;90),1,0))</f>
        <v/>
      </c>
      <c r="AK94" s="14">
        <f>IF(AJ94="","",IF(AJ94&gt;=10,"CRITICAL",IF(AJ94&gt;=6,"HIGH",IF(AJ94&gt;=3,"WATCH","LOW"))))</f>
        <v/>
      </c>
      <c r="AL94" s="20">
        <f>IF(AJ94="","",TRIM(IF(OR(C94="Major",C94="Systemic"),"major or systemic; ","")&amp;IF(AND(Y94="",S94&lt;&gt;"",TODAY()&gt;S94),"open past agreed date; ","")&amp;IF(AB94="Yes","authority or NOC linked; ","")&amp;IF(AG94="Yes","repeat of a previous NCR; ","")&amp;IF(AND(Y94="",AE94&gt;=14),"programme impact 14 days or more; ","")&amp;IF(AND(Y94="",AD94&gt;=100000),"cost impact AED 100,000 or more; ","")&amp;IF(AND(Y94&lt;&gt;"",V94=""),"closed with no verification date; ","")&amp;IF(AND(Y94&lt;&gt;"",X94=""),"closed without a closure certificate; ","")&amp;IF(AND(Y94&lt;&gt;"",Z94&gt;90),"closed more than 90 days after raising; ","")))</f>
        <v/>
      </c>
    </row>
    <row r="95">
      <c r="A95" s="10" t="n"/>
      <c r="B95" s="11" t="n"/>
      <c r="C95" s="12" t="n"/>
      <c r="D95" s="12" t="n"/>
      <c r="E95" s="12" t="n"/>
      <c r="F95" s="13" t="n"/>
      <c r="G95" s="13" t="n"/>
      <c r="H95" s="13" t="n"/>
      <c r="I95" s="13" t="n"/>
      <c r="J95" s="13" t="n"/>
      <c r="K95" s="13" t="n"/>
      <c r="L95" s="13" t="n"/>
      <c r="M95" s="11" t="n"/>
      <c r="N95" s="11" t="n"/>
      <c r="O95" s="12" t="n"/>
      <c r="P95" s="13" t="n"/>
      <c r="Q95" s="13" t="n"/>
      <c r="R95" s="13" t="n"/>
      <c r="S95" s="11" t="n"/>
      <c r="T95" s="11" t="n"/>
      <c r="U95" s="13" t="n"/>
      <c r="V95" s="11" t="n"/>
      <c r="W95" s="12" t="n"/>
      <c r="X95" s="12" t="n"/>
      <c r="Y95" s="11" t="n"/>
      <c r="Z95" s="14">
        <f>IF(A95="","",IF(Y95&lt;&gt;"",Y95-B95,TODAY()-B95))</f>
        <v/>
      </c>
      <c r="AA95" s="14">
        <f>IF(A95="","",IF(AND(Y95="",TODAY()&gt;S95),"OVERDUE",IF(AND(Y95&lt;&gt;"",Y95&gt;S95),"CLOSED LATE","")))</f>
        <v/>
      </c>
      <c r="AB95" s="12" t="n"/>
      <c r="AC95" s="13" t="n"/>
      <c r="AD95" s="21" t="n"/>
      <c r="AE95" s="12" t="n"/>
      <c r="AF95" s="14">
        <f>IF(A95="","",IF(Y95&lt;&gt;"","Closed",IF(TODAY()&gt;S95,"Overdue","Open")))</f>
        <v/>
      </c>
      <c r="AG95" s="12" t="n"/>
      <c r="AH95" s="13" t="n"/>
      <c r="AI95" s="12" t="n"/>
      <c r="AJ95" s="14">
        <f>IF(A95="","",IF(OR(C95="Major",C95="Systemic"),4,IF(C95="Minor",1,0))+IF(AND(Y95="",S95&lt;&gt;"",TODAY()&gt;S95),3,0)+IF(AB95="Yes",3,0)+IF(AG95="Yes",2,0)+IF(AND(Y95="",AE95&gt;=14),2,0)+IF(AND(Y95="",AD95&gt;=100000),2,0)+IF(AND(Y95&lt;&gt;"",V95=""),3,0)+IF(AND(Y95&lt;&gt;"",X95=""),2,0)+IF(AND(Y95&lt;&gt;"",Z95&gt;90),1,0))</f>
        <v/>
      </c>
      <c r="AK95" s="14">
        <f>IF(AJ95="","",IF(AJ95&gt;=10,"CRITICAL",IF(AJ95&gt;=6,"HIGH",IF(AJ95&gt;=3,"WATCH","LOW"))))</f>
        <v/>
      </c>
      <c r="AL95" s="20">
        <f>IF(AJ95="","",TRIM(IF(OR(C95="Major",C95="Systemic"),"major or systemic; ","")&amp;IF(AND(Y95="",S95&lt;&gt;"",TODAY()&gt;S95),"open past agreed date; ","")&amp;IF(AB95="Yes","authority or NOC linked; ","")&amp;IF(AG95="Yes","repeat of a previous NCR; ","")&amp;IF(AND(Y95="",AE95&gt;=14),"programme impact 14 days or more; ","")&amp;IF(AND(Y95="",AD95&gt;=100000),"cost impact AED 100,000 or more; ","")&amp;IF(AND(Y95&lt;&gt;"",V95=""),"closed with no verification date; ","")&amp;IF(AND(Y95&lt;&gt;"",X95=""),"closed without a closure certificate; ","")&amp;IF(AND(Y95&lt;&gt;"",Z95&gt;90),"closed more than 90 days after raising; ","")))</f>
        <v/>
      </c>
    </row>
    <row r="96">
      <c r="A96" s="10" t="n"/>
      <c r="B96" s="11" t="n"/>
      <c r="C96" s="12" t="n"/>
      <c r="D96" s="12" t="n"/>
      <c r="E96" s="12" t="n"/>
      <c r="F96" s="13" t="n"/>
      <c r="G96" s="13" t="n"/>
      <c r="H96" s="13" t="n"/>
      <c r="I96" s="13" t="n"/>
      <c r="J96" s="13" t="n"/>
      <c r="K96" s="13" t="n"/>
      <c r="L96" s="13" t="n"/>
      <c r="M96" s="11" t="n"/>
      <c r="N96" s="11" t="n"/>
      <c r="O96" s="12" t="n"/>
      <c r="P96" s="13" t="n"/>
      <c r="Q96" s="13" t="n"/>
      <c r="R96" s="13" t="n"/>
      <c r="S96" s="11" t="n"/>
      <c r="T96" s="11" t="n"/>
      <c r="U96" s="13" t="n"/>
      <c r="V96" s="11" t="n"/>
      <c r="W96" s="12" t="n"/>
      <c r="X96" s="12" t="n"/>
      <c r="Y96" s="11" t="n"/>
      <c r="Z96" s="14">
        <f>IF(A96="","",IF(Y96&lt;&gt;"",Y96-B96,TODAY()-B96))</f>
        <v/>
      </c>
      <c r="AA96" s="14">
        <f>IF(A96="","",IF(AND(Y96="",TODAY()&gt;S96),"OVERDUE",IF(AND(Y96&lt;&gt;"",Y96&gt;S96),"CLOSED LATE","")))</f>
        <v/>
      </c>
      <c r="AB96" s="12" t="n"/>
      <c r="AC96" s="13" t="n"/>
      <c r="AD96" s="21" t="n"/>
      <c r="AE96" s="12" t="n"/>
      <c r="AF96" s="14">
        <f>IF(A96="","",IF(Y96&lt;&gt;"","Closed",IF(TODAY()&gt;S96,"Overdue","Open")))</f>
        <v/>
      </c>
      <c r="AG96" s="12" t="n"/>
      <c r="AH96" s="13" t="n"/>
      <c r="AI96" s="12" t="n"/>
      <c r="AJ96" s="14">
        <f>IF(A96="","",IF(OR(C96="Major",C96="Systemic"),4,IF(C96="Minor",1,0))+IF(AND(Y96="",S96&lt;&gt;"",TODAY()&gt;S96),3,0)+IF(AB96="Yes",3,0)+IF(AG96="Yes",2,0)+IF(AND(Y96="",AE96&gt;=14),2,0)+IF(AND(Y96="",AD96&gt;=100000),2,0)+IF(AND(Y96&lt;&gt;"",V96=""),3,0)+IF(AND(Y96&lt;&gt;"",X96=""),2,0)+IF(AND(Y96&lt;&gt;"",Z96&gt;90),1,0))</f>
        <v/>
      </c>
      <c r="AK96" s="14">
        <f>IF(AJ96="","",IF(AJ96&gt;=10,"CRITICAL",IF(AJ96&gt;=6,"HIGH",IF(AJ96&gt;=3,"WATCH","LOW"))))</f>
        <v/>
      </c>
      <c r="AL96" s="20">
        <f>IF(AJ96="","",TRIM(IF(OR(C96="Major",C96="Systemic"),"major or systemic; ","")&amp;IF(AND(Y96="",S96&lt;&gt;"",TODAY()&gt;S96),"open past agreed date; ","")&amp;IF(AB96="Yes","authority or NOC linked; ","")&amp;IF(AG96="Yes","repeat of a previous NCR; ","")&amp;IF(AND(Y96="",AE96&gt;=14),"programme impact 14 days or more; ","")&amp;IF(AND(Y96="",AD96&gt;=100000),"cost impact AED 100,000 or more; ","")&amp;IF(AND(Y96&lt;&gt;"",V96=""),"closed with no verification date; ","")&amp;IF(AND(Y96&lt;&gt;"",X96=""),"closed without a closure certificate; ","")&amp;IF(AND(Y96&lt;&gt;"",Z96&gt;90),"closed more than 90 days after raising; ","")))</f>
        <v/>
      </c>
    </row>
    <row r="97">
      <c r="A97" s="10" t="n"/>
      <c r="B97" s="11" t="n"/>
      <c r="C97" s="12" t="n"/>
      <c r="D97" s="12" t="n"/>
      <c r="E97" s="12" t="n"/>
      <c r="F97" s="13" t="n"/>
      <c r="G97" s="13" t="n"/>
      <c r="H97" s="13" t="n"/>
      <c r="I97" s="13" t="n"/>
      <c r="J97" s="13" t="n"/>
      <c r="K97" s="13" t="n"/>
      <c r="L97" s="13" t="n"/>
      <c r="M97" s="11" t="n"/>
      <c r="N97" s="11" t="n"/>
      <c r="O97" s="12" t="n"/>
      <c r="P97" s="13" t="n"/>
      <c r="Q97" s="13" t="n"/>
      <c r="R97" s="13" t="n"/>
      <c r="S97" s="11" t="n"/>
      <c r="T97" s="11" t="n"/>
      <c r="U97" s="13" t="n"/>
      <c r="V97" s="11" t="n"/>
      <c r="W97" s="12" t="n"/>
      <c r="X97" s="12" t="n"/>
      <c r="Y97" s="11" t="n"/>
      <c r="Z97" s="14">
        <f>IF(A97="","",IF(Y97&lt;&gt;"",Y97-B97,TODAY()-B97))</f>
        <v/>
      </c>
      <c r="AA97" s="14">
        <f>IF(A97="","",IF(AND(Y97="",TODAY()&gt;S97),"OVERDUE",IF(AND(Y97&lt;&gt;"",Y97&gt;S97),"CLOSED LATE","")))</f>
        <v/>
      </c>
      <c r="AB97" s="12" t="n"/>
      <c r="AC97" s="13" t="n"/>
      <c r="AD97" s="21" t="n"/>
      <c r="AE97" s="12" t="n"/>
      <c r="AF97" s="14">
        <f>IF(A97="","",IF(Y97&lt;&gt;"","Closed",IF(TODAY()&gt;S97,"Overdue","Open")))</f>
        <v/>
      </c>
      <c r="AG97" s="12" t="n"/>
      <c r="AH97" s="13" t="n"/>
      <c r="AI97" s="12" t="n"/>
      <c r="AJ97" s="14">
        <f>IF(A97="","",IF(OR(C97="Major",C97="Systemic"),4,IF(C97="Minor",1,0))+IF(AND(Y97="",S97&lt;&gt;"",TODAY()&gt;S97),3,0)+IF(AB97="Yes",3,0)+IF(AG97="Yes",2,0)+IF(AND(Y97="",AE97&gt;=14),2,0)+IF(AND(Y97="",AD97&gt;=100000),2,0)+IF(AND(Y97&lt;&gt;"",V97=""),3,0)+IF(AND(Y97&lt;&gt;"",X97=""),2,0)+IF(AND(Y97&lt;&gt;"",Z97&gt;90),1,0))</f>
        <v/>
      </c>
      <c r="AK97" s="14">
        <f>IF(AJ97="","",IF(AJ97&gt;=10,"CRITICAL",IF(AJ97&gt;=6,"HIGH",IF(AJ97&gt;=3,"WATCH","LOW"))))</f>
        <v/>
      </c>
      <c r="AL97" s="20">
        <f>IF(AJ97="","",TRIM(IF(OR(C97="Major",C97="Systemic"),"major or systemic; ","")&amp;IF(AND(Y97="",S97&lt;&gt;"",TODAY()&gt;S97),"open past agreed date; ","")&amp;IF(AB97="Yes","authority or NOC linked; ","")&amp;IF(AG97="Yes","repeat of a previous NCR; ","")&amp;IF(AND(Y97="",AE97&gt;=14),"programme impact 14 days or more; ","")&amp;IF(AND(Y97="",AD97&gt;=100000),"cost impact AED 100,000 or more; ","")&amp;IF(AND(Y97&lt;&gt;"",V97=""),"closed with no verification date; ","")&amp;IF(AND(Y97&lt;&gt;"",X97=""),"closed without a closure certificate; ","")&amp;IF(AND(Y97&lt;&gt;"",Z97&gt;90),"closed more than 90 days after raising; ","")))</f>
        <v/>
      </c>
    </row>
    <row r="98">
      <c r="A98" s="10" t="n"/>
      <c r="B98" s="11" t="n"/>
      <c r="C98" s="12" t="n"/>
      <c r="D98" s="12" t="n"/>
      <c r="E98" s="12" t="n"/>
      <c r="F98" s="13" t="n"/>
      <c r="G98" s="13" t="n"/>
      <c r="H98" s="13" t="n"/>
      <c r="I98" s="13" t="n"/>
      <c r="J98" s="13" t="n"/>
      <c r="K98" s="13" t="n"/>
      <c r="L98" s="13" t="n"/>
      <c r="M98" s="11" t="n"/>
      <c r="N98" s="11" t="n"/>
      <c r="O98" s="12" t="n"/>
      <c r="P98" s="13" t="n"/>
      <c r="Q98" s="13" t="n"/>
      <c r="R98" s="13" t="n"/>
      <c r="S98" s="11" t="n"/>
      <c r="T98" s="11" t="n"/>
      <c r="U98" s="13" t="n"/>
      <c r="V98" s="11" t="n"/>
      <c r="W98" s="12" t="n"/>
      <c r="X98" s="12" t="n"/>
      <c r="Y98" s="11" t="n"/>
      <c r="Z98" s="14">
        <f>IF(A98="","",IF(Y98&lt;&gt;"",Y98-B98,TODAY()-B98))</f>
        <v/>
      </c>
      <c r="AA98" s="14">
        <f>IF(A98="","",IF(AND(Y98="",TODAY()&gt;S98),"OVERDUE",IF(AND(Y98&lt;&gt;"",Y98&gt;S98),"CLOSED LATE","")))</f>
        <v/>
      </c>
      <c r="AB98" s="12" t="n"/>
      <c r="AC98" s="13" t="n"/>
      <c r="AD98" s="21" t="n"/>
      <c r="AE98" s="12" t="n"/>
      <c r="AF98" s="14">
        <f>IF(A98="","",IF(Y98&lt;&gt;"","Closed",IF(TODAY()&gt;S98,"Overdue","Open")))</f>
        <v/>
      </c>
      <c r="AG98" s="12" t="n"/>
      <c r="AH98" s="13" t="n"/>
      <c r="AI98" s="12" t="n"/>
      <c r="AJ98" s="14">
        <f>IF(A98="","",IF(OR(C98="Major",C98="Systemic"),4,IF(C98="Minor",1,0))+IF(AND(Y98="",S98&lt;&gt;"",TODAY()&gt;S98),3,0)+IF(AB98="Yes",3,0)+IF(AG98="Yes",2,0)+IF(AND(Y98="",AE98&gt;=14),2,0)+IF(AND(Y98="",AD98&gt;=100000),2,0)+IF(AND(Y98&lt;&gt;"",V98=""),3,0)+IF(AND(Y98&lt;&gt;"",X98=""),2,0)+IF(AND(Y98&lt;&gt;"",Z98&gt;90),1,0))</f>
        <v/>
      </c>
      <c r="AK98" s="14">
        <f>IF(AJ98="","",IF(AJ98&gt;=10,"CRITICAL",IF(AJ98&gt;=6,"HIGH",IF(AJ98&gt;=3,"WATCH","LOW"))))</f>
        <v/>
      </c>
      <c r="AL98" s="20">
        <f>IF(AJ98="","",TRIM(IF(OR(C98="Major",C98="Systemic"),"major or systemic; ","")&amp;IF(AND(Y98="",S98&lt;&gt;"",TODAY()&gt;S98),"open past agreed date; ","")&amp;IF(AB98="Yes","authority or NOC linked; ","")&amp;IF(AG98="Yes","repeat of a previous NCR; ","")&amp;IF(AND(Y98="",AE98&gt;=14),"programme impact 14 days or more; ","")&amp;IF(AND(Y98="",AD98&gt;=100000),"cost impact AED 100,000 or more; ","")&amp;IF(AND(Y98&lt;&gt;"",V98=""),"closed with no verification date; ","")&amp;IF(AND(Y98&lt;&gt;"",X98=""),"closed without a closure certificate; ","")&amp;IF(AND(Y98&lt;&gt;"",Z98&gt;90),"closed more than 90 days after raising; ","")))</f>
        <v/>
      </c>
    </row>
    <row r="99">
      <c r="A99" s="10" t="n"/>
      <c r="B99" s="11" t="n"/>
      <c r="C99" s="12" t="n"/>
      <c r="D99" s="12" t="n"/>
      <c r="E99" s="12" t="n"/>
      <c r="F99" s="13" t="n"/>
      <c r="G99" s="13" t="n"/>
      <c r="H99" s="13" t="n"/>
      <c r="I99" s="13" t="n"/>
      <c r="J99" s="13" t="n"/>
      <c r="K99" s="13" t="n"/>
      <c r="L99" s="13" t="n"/>
      <c r="M99" s="11" t="n"/>
      <c r="N99" s="11" t="n"/>
      <c r="O99" s="12" t="n"/>
      <c r="P99" s="13" t="n"/>
      <c r="Q99" s="13" t="n"/>
      <c r="R99" s="13" t="n"/>
      <c r="S99" s="11" t="n"/>
      <c r="T99" s="11" t="n"/>
      <c r="U99" s="13" t="n"/>
      <c r="V99" s="11" t="n"/>
      <c r="W99" s="12" t="n"/>
      <c r="X99" s="12" t="n"/>
      <c r="Y99" s="11" t="n"/>
      <c r="Z99" s="14">
        <f>IF(A99="","",IF(Y99&lt;&gt;"",Y99-B99,TODAY()-B99))</f>
        <v/>
      </c>
      <c r="AA99" s="14">
        <f>IF(A99="","",IF(AND(Y99="",TODAY()&gt;S99),"OVERDUE",IF(AND(Y99&lt;&gt;"",Y99&gt;S99),"CLOSED LATE","")))</f>
        <v/>
      </c>
      <c r="AB99" s="12" t="n"/>
      <c r="AC99" s="13" t="n"/>
      <c r="AD99" s="21" t="n"/>
      <c r="AE99" s="12" t="n"/>
      <c r="AF99" s="14">
        <f>IF(A99="","",IF(Y99&lt;&gt;"","Closed",IF(TODAY()&gt;S99,"Overdue","Open")))</f>
        <v/>
      </c>
      <c r="AG99" s="12" t="n"/>
      <c r="AH99" s="13" t="n"/>
      <c r="AI99" s="12" t="n"/>
      <c r="AJ99" s="14">
        <f>IF(A99="","",IF(OR(C99="Major",C99="Systemic"),4,IF(C99="Minor",1,0))+IF(AND(Y99="",S99&lt;&gt;"",TODAY()&gt;S99),3,0)+IF(AB99="Yes",3,0)+IF(AG99="Yes",2,0)+IF(AND(Y99="",AE99&gt;=14),2,0)+IF(AND(Y99="",AD99&gt;=100000),2,0)+IF(AND(Y99&lt;&gt;"",V99=""),3,0)+IF(AND(Y99&lt;&gt;"",X99=""),2,0)+IF(AND(Y99&lt;&gt;"",Z99&gt;90),1,0))</f>
        <v/>
      </c>
      <c r="AK99" s="14">
        <f>IF(AJ99="","",IF(AJ99&gt;=10,"CRITICAL",IF(AJ99&gt;=6,"HIGH",IF(AJ99&gt;=3,"WATCH","LOW"))))</f>
        <v/>
      </c>
      <c r="AL99" s="20">
        <f>IF(AJ99="","",TRIM(IF(OR(C99="Major",C99="Systemic"),"major or systemic; ","")&amp;IF(AND(Y99="",S99&lt;&gt;"",TODAY()&gt;S99),"open past agreed date; ","")&amp;IF(AB99="Yes","authority or NOC linked; ","")&amp;IF(AG99="Yes","repeat of a previous NCR; ","")&amp;IF(AND(Y99="",AE99&gt;=14),"programme impact 14 days or more; ","")&amp;IF(AND(Y99="",AD99&gt;=100000),"cost impact AED 100,000 or more; ","")&amp;IF(AND(Y99&lt;&gt;"",V99=""),"closed with no verification date; ","")&amp;IF(AND(Y99&lt;&gt;"",X99=""),"closed without a closure certificate; ","")&amp;IF(AND(Y99&lt;&gt;"",Z99&gt;90),"closed more than 90 days after raising; ","")))</f>
        <v/>
      </c>
    </row>
    <row r="100">
      <c r="A100" s="10" t="n"/>
      <c r="B100" s="11" t="n"/>
      <c r="C100" s="12" t="n"/>
      <c r="D100" s="12" t="n"/>
      <c r="E100" s="12" t="n"/>
      <c r="F100" s="13" t="n"/>
      <c r="G100" s="13" t="n"/>
      <c r="H100" s="13" t="n"/>
      <c r="I100" s="13" t="n"/>
      <c r="J100" s="13" t="n"/>
      <c r="K100" s="13" t="n"/>
      <c r="L100" s="13" t="n"/>
      <c r="M100" s="11" t="n"/>
      <c r="N100" s="11" t="n"/>
      <c r="O100" s="12" t="n"/>
      <c r="P100" s="13" t="n"/>
      <c r="Q100" s="13" t="n"/>
      <c r="R100" s="13" t="n"/>
      <c r="S100" s="11" t="n"/>
      <c r="T100" s="11" t="n"/>
      <c r="U100" s="13" t="n"/>
      <c r="V100" s="11" t="n"/>
      <c r="W100" s="12" t="n"/>
      <c r="X100" s="12" t="n"/>
      <c r="Y100" s="11" t="n"/>
      <c r="Z100" s="14">
        <f>IF(A100="","",IF(Y100&lt;&gt;"",Y100-B100,TODAY()-B100))</f>
        <v/>
      </c>
      <c r="AA100" s="14">
        <f>IF(A100="","",IF(AND(Y100="",TODAY()&gt;S100),"OVERDUE",IF(AND(Y100&lt;&gt;"",Y100&gt;S100),"CLOSED LATE","")))</f>
        <v/>
      </c>
      <c r="AB100" s="12" t="n"/>
      <c r="AC100" s="13" t="n"/>
      <c r="AD100" s="21" t="n"/>
      <c r="AE100" s="12" t="n"/>
      <c r="AF100" s="14">
        <f>IF(A100="","",IF(Y100&lt;&gt;"","Closed",IF(TODAY()&gt;S100,"Overdue","Open")))</f>
        <v/>
      </c>
      <c r="AG100" s="12" t="n"/>
      <c r="AH100" s="13" t="n"/>
      <c r="AI100" s="12" t="n"/>
      <c r="AJ100" s="14">
        <f>IF(A100="","",IF(OR(C100="Major",C100="Systemic"),4,IF(C100="Minor",1,0))+IF(AND(Y100="",S100&lt;&gt;"",TODAY()&gt;S100),3,0)+IF(AB100="Yes",3,0)+IF(AG100="Yes",2,0)+IF(AND(Y100="",AE100&gt;=14),2,0)+IF(AND(Y100="",AD100&gt;=100000),2,0)+IF(AND(Y100&lt;&gt;"",V100=""),3,0)+IF(AND(Y100&lt;&gt;"",X100=""),2,0)+IF(AND(Y100&lt;&gt;"",Z100&gt;90),1,0))</f>
        <v/>
      </c>
      <c r="AK100" s="14">
        <f>IF(AJ100="","",IF(AJ100&gt;=10,"CRITICAL",IF(AJ100&gt;=6,"HIGH",IF(AJ100&gt;=3,"WATCH","LOW"))))</f>
        <v/>
      </c>
      <c r="AL100" s="20">
        <f>IF(AJ100="","",TRIM(IF(OR(C100="Major",C100="Systemic"),"major or systemic; ","")&amp;IF(AND(Y100="",S100&lt;&gt;"",TODAY()&gt;S100),"open past agreed date; ","")&amp;IF(AB100="Yes","authority or NOC linked; ","")&amp;IF(AG100="Yes","repeat of a previous NCR; ","")&amp;IF(AND(Y100="",AE100&gt;=14),"programme impact 14 days or more; ","")&amp;IF(AND(Y100="",AD100&gt;=100000),"cost impact AED 100,000 or more; ","")&amp;IF(AND(Y100&lt;&gt;"",V100=""),"closed with no verification date; ","")&amp;IF(AND(Y100&lt;&gt;"",X100=""),"closed without a closure certificate; ","")&amp;IF(AND(Y100&lt;&gt;"",Z100&gt;90),"closed more than 90 days after raising; ","")))</f>
        <v/>
      </c>
    </row>
    <row r="101">
      <c r="A101" s="10" t="n"/>
      <c r="B101" s="11" t="n"/>
      <c r="C101" s="12" t="n"/>
      <c r="D101" s="12" t="n"/>
      <c r="E101" s="12" t="n"/>
      <c r="F101" s="13" t="n"/>
      <c r="G101" s="13" t="n"/>
      <c r="H101" s="13" t="n"/>
      <c r="I101" s="13" t="n"/>
      <c r="J101" s="13" t="n"/>
      <c r="K101" s="13" t="n"/>
      <c r="L101" s="13" t="n"/>
      <c r="M101" s="11" t="n"/>
      <c r="N101" s="11" t="n"/>
      <c r="O101" s="12" t="n"/>
      <c r="P101" s="13" t="n"/>
      <c r="Q101" s="13" t="n"/>
      <c r="R101" s="13" t="n"/>
      <c r="S101" s="11" t="n"/>
      <c r="T101" s="11" t="n"/>
      <c r="U101" s="13" t="n"/>
      <c r="V101" s="11" t="n"/>
      <c r="W101" s="12" t="n"/>
      <c r="X101" s="12" t="n"/>
      <c r="Y101" s="11" t="n"/>
      <c r="Z101" s="14">
        <f>IF(A101="","",IF(Y101&lt;&gt;"",Y101-B101,TODAY()-B101))</f>
        <v/>
      </c>
      <c r="AA101" s="14">
        <f>IF(A101="","",IF(AND(Y101="",TODAY()&gt;S101),"OVERDUE",IF(AND(Y101&lt;&gt;"",Y101&gt;S101),"CLOSED LATE","")))</f>
        <v/>
      </c>
      <c r="AB101" s="12" t="n"/>
      <c r="AC101" s="13" t="n"/>
      <c r="AD101" s="21" t="n"/>
      <c r="AE101" s="12" t="n"/>
      <c r="AF101" s="14">
        <f>IF(A101="","",IF(Y101&lt;&gt;"","Closed",IF(TODAY()&gt;S101,"Overdue","Open")))</f>
        <v/>
      </c>
      <c r="AG101" s="12" t="n"/>
      <c r="AH101" s="13" t="n"/>
      <c r="AI101" s="12" t="n"/>
      <c r="AJ101" s="14">
        <f>IF(A101="","",IF(OR(C101="Major",C101="Systemic"),4,IF(C101="Minor",1,0))+IF(AND(Y101="",S101&lt;&gt;"",TODAY()&gt;S101),3,0)+IF(AB101="Yes",3,0)+IF(AG101="Yes",2,0)+IF(AND(Y101="",AE101&gt;=14),2,0)+IF(AND(Y101="",AD101&gt;=100000),2,0)+IF(AND(Y101&lt;&gt;"",V101=""),3,0)+IF(AND(Y101&lt;&gt;"",X101=""),2,0)+IF(AND(Y101&lt;&gt;"",Z101&gt;90),1,0))</f>
        <v/>
      </c>
      <c r="AK101" s="14">
        <f>IF(AJ101="","",IF(AJ101&gt;=10,"CRITICAL",IF(AJ101&gt;=6,"HIGH",IF(AJ101&gt;=3,"WATCH","LOW"))))</f>
        <v/>
      </c>
      <c r="AL101" s="20">
        <f>IF(AJ101="","",TRIM(IF(OR(C101="Major",C101="Systemic"),"major or systemic; ","")&amp;IF(AND(Y101="",S101&lt;&gt;"",TODAY()&gt;S101),"open past agreed date; ","")&amp;IF(AB101="Yes","authority or NOC linked; ","")&amp;IF(AG101="Yes","repeat of a previous NCR; ","")&amp;IF(AND(Y101="",AE101&gt;=14),"programme impact 14 days or more; ","")&amp;IF(AND(Y101="",AD101&gt;=100000),"cost impact AED 100,000 or more; ","")&amp;IF(AND(Y101&lt;&gt;"",V101=""),"closed with no verification date; ","")&amp;IF(AND(Y101&lt;&gt;"",X101=""),"closed without a closure certificate; ","")&amp;IF(AND(Y101&lt;&gt;"",Z101&gt;90),"closed more than 90 days after raising; ","")))</f>
        <v/>
      </c>
    </row>
    <row r="102">
      <c r="A102" s="10" t="n"/>
      <c r="B102" s="11" t="n"/>
      <c r="C102" s="12" t="n"/>
      <c r="D102" s="12" t="n"/>
      <c r="E102" s="12" t="n"/>
      <c r="F102" s="13" t="n"/>
      <c r="G102" s="13" t="n"/>
      <c r="H102" s="13" t="n"/>
      <c r="I102" s="13" t="n"/>
      <c r="J102" s="13" t="n"/>
      <c r="K102" s="13" t="n"/>
      <c r="L102" s="13" t="n"/>
      <c r="M102" s="11" t="n"/>
      <c r="N102" s="11" t="n"/>
      <c r="O102" s="12" t="n"/>
      <c r="P102" s="13" t="n"/>
      <c r="Q102" s="13" t="n"/>
      <c r="R102" s="13" t="n"/>
      <c r="S102" s="11" t="n"/>
      <c r="T102" s="11" t="n"/>
      <c r="U102" s="13" t="n"/>
      <c r="V102" s="11" t="n"/>
      <c r="W102" s="12" t="n"/>
      <c r="X102" s="12" t="n"/>
      <c r="Y102" s="11" t="n"/>
      <c r="Z102" s="14">
        <f>IF(A102="","",IF(Y102&lt;&gt;"",Y102-B102,TODAY()-B102))</f>
        <v/>
      </c>
      <c r="AA102" s="14">
        <f>IF(A102="","",IF(AND(Y102="",TODAY()&gt;S102),"OVERDUE",IF(AND(Y102&lt;&gt;"",Y102&gt;S102),"CLOSED LATE","")))</f>
        <v/>
      </c>
      <c r="AB102" s="12" t="n"/>
      <c r="AC102" s="13" t="n"/>
      <c r="AD102" s="21" t="n"/>
      <c r="AE102" s="12" t="n"/>
      <c r="AF102" s="14">
        <f>IF(A102="","",IF(Y102&lt;&gt;"","Closed",IF(TODAY()&gt;S102,"Overdue","Open")))</f>
        <v/>
      </c>
      <c r="AG102" s="12" t="n"/>
      <c r="AH102" s="13" t="n"/>
      <c r="AI102" s="12" t="n"/>
      <c r="AJ102" s="14">
        <f>IF(A102="","",IF(OR(C102="Major",C102="Systemic"),4,IF(C102="Minor",1,0))+IF(AND(Y102="",S102&lt;&gt;"",TODAY()&gt;S102),3,0)+IF(AB102="Yes",3,0)+IF(AG102="Yes",2,0)+IF(AND(Y102="",AE102&gt;=14),2,0)+IF(AND(Y102="",AD102&gt;=100000),2,0)+IF(AND(Y102&lt;&gt;"",V102=""),3,0)+IF(AND(Y102&lt;&gt;"",X102=""),2,0)+IF(AND(Y102&lt;&gt;"",Z102&gt;90),1,0))</f>
        <v/>
      </c>
      <c r="AK102" s="14">
        <f>IF(AJ102="","",IF(AJ102&gt;=10,"CRITICAL",IF(AJ102&gt;=6,"HIGH",IF(AJ102&gt;=3,"WATCH","LOW"))))</f>
        <v/>
      </c>
      <c r="AL102" s="20">
        <f>IF(AJ102="","",TRIM(IF(OR(C102="Major",C102="Systemic"),"major or systemic; ","")&amp;IF(AND(Y102="",S102&lt;&gt;"",TODAY()&gt;S102),"open past agreed date; ","")&amp;IF(AB102="Yes","authority or NOC linked; ","")&amp;IF(AG102="Yes","repeat of a previous NCR; ","")&amp;IF(AND(Y102="",AE102&gt;=14),"programme impact 14 days or more; ","")&amp;IF(AND(Y102="",AD102&gt;=100000),"cost impact AED 100,000 or more; ","")&amp;IF(AND(Y102&lt;&gt;"",V102=""),"closed with no verification date; ","")&amp;IF(AND(Y102&lt;&gt;"",X102=""),"closed without a closure certificate; ","")&amp;IF(AND(Y102&lt;&gt;"",Z102&gt;90),"closed more than 90 days after raising; ","")))</f>
        <v/>
      </c>
    </row>
    <row r="103">
      <c r="A103" s="10" t="n"/>
      <c r="B103" s="11" t="n"/>
      <c r="C103" s="12" t="n"/>
      <c r="D103" s="12" t="n"/>
      <c r="E103" s="12" t="n"/>
      <c r="F103" s="13" t="n"/>
      <c r="G103" s="13" t="n"/>
      <c r="H103" s="13" t="n"/>
      <c r="I103" s="13" t="n"/>
      <c r="J103" s="13" t="n"/>
      <c r="K103" s="13" t="n"/>
      <c r="L103" s="13" t="n"/>
      <c r="M103" s="11" t="n"/>
      <c r="N103" s="11" t="n"/>
      <c r="O103" s="12" t="n"/>
      <c r="P103" s="13" t="n"/>
      <c r="Q103" s="13" t="n"/>
      <c r="R103" s="13" t="n"/>
      <c r="S103" s="11" t="n"/>
      <c r="T103" s="11" t="n"/>
      <c r="U103" s="13" t="n"/>
      <c r="V103" s="11" t="n"/>
      <c r="W103" s="12" t="n"/>
      <c r="X103" s="12" t="n"/>
      <c r="Y103" s="11" t="n"/>
      <c r="Z103" s="14">
        <f>IF(A103="","",IF(Y103&lt;&gt;"",Y103-B103,TODAY()-B103))</f>
        <v/>
      </c>
      <c r="AA103" s="14">
        <f>IF(A103="","",IF(AND(Y103="",TODAY()&gt;S103),"OVERDUE",IF(AND(Y103&lt;&gt;"",Y103&gt;S103),"CLOSED LATE","")))</f>
        <v/>
      </c>
      <c r="AB103" s="12" t="n"/>
      <c r="AC103" s="13" t="n"/>
      <c r="AD103" s="21" t="n"/>
      <c r="AE103" s="12" t="n"/>
      <c r="AF103" s="14">
        <f>IF(A103="","",IF(Y103&lt;&gt;"","Closed",IF(TODAY()&gt;S103,"Overdue","Open")))</f>
        <v/>
      </c>
      <c r="AG103" s="12" t="n"/>
      <c r="AH103" s="13" t="n"/>
      <c r="AI103" s="12" t="n"/>
      <c r="AJ103" s="14">
        <f>IF(A103="","",IF(OR(C103="Major",C103="Systemic"),4,IF(C103="Minor",1,0))+IF(AND(Y103="",S103&lt;&gt;"",TODAY()&gt;S103),3,0)+IF(AB103="Yes",3,0)+IF(AG103="Yes",2,0)+IF(AND(Y103="",AE103&gt;=14),2,0)+IF(AND(Y103="",AD103&gt;=100000),2,0)+IF(AND(Y103&lt;&gt;"",V103=""),3,0)+IF(AND(Y103&lt;&gt;"",X103=""),2,0)+IF(AND(Y103&lt;&gt;"",Z103&gt;90),1,0))</f>
        <v/>
      </c>
      <c r="AK103" s="14">
        <f>IF(AJ103="","",IF(AJ103&gt;=10,"CRITICAL",IF(AJ103&gt;=6,"HIGH",IF(AJ103&gt;=3,"WATCH","LOW"))))</f>
        <v/>
      </c>
      <c r="AL103" s="20">
        <f>IF(AJ103="","",TRIM(IF(OR(C103="Major",C103="Systemic"),"major or systemic; ","")&amp;IF(AND(Y103="",S103&lt;&gt;"",TODAY()&gt;S103),"open past agreed date; ","")&amp;IF(AB103="Yes","authority or NOC linked; ","")&amp;IF(AG103="Yes","repeat of a previous NCR; ","")&amp;IF(AND(Y103="",AE103&gt;=14),"programme impact 14 days or more; ","")&amp;IF(AND(Y103="",AD103&gt;=100000),"cost impact AED 100,000 or more; ","")&amp;IF(AND(Y103&lt;&gt;"",V103=""),"closed with no verification date; ","")&amp;IF(AND(Y103&lt;&gt;"",X103=""),"closed without a closure certificate; ","")&amp;IF(AND(Y103&lt;&gt;"",Z103&gt;90),"closed more than 90 days after raising; ","")))</f>
        <v/>
      </c>
    </row>
    <row r="104">
      <c r="A104" s="10" t="n"/>
      <c r="B104" s="11" t="n"/>
      <c r="C104" s="12" t="n"/>
      <c r="D104" s="12" t="n"/>
      <c r="E104" s="12" t="n"/>
      <c r="F104" s="13" t="n"/>
      <c r="G104" s="13" t="n"/>
      <c r="H104" s="13" t="n"/>
      <c r="I104" s="13" t="n"/>
      <c r="J104" s="13" t="n"/>
      <c r="K104" s="13" t="n"/>
      <c r="L104" s="13" t="n"/>
      <c r="M104" s="11" t="n"/>
      <c r="N104" s="11" t="n"/>
      <c r="O104" s="12" t="n"/>
      <c r="P104" s="13" t="n"/>
      <c r="Q104" s="13" t="n"/>
      <c r="R104" s="13" t="n"/>
      <c r="S104" s="11" t="n"/>
      <c r="T104" s="11" t="n"/>
      <c r="U104" s="13" t="n"/>
      <c r="V104" s="11" t="n"/>
      <c r="W104" s="12" t="n"/>
      <c r="X104" s="12" t="n"/>
      <c r="Y104" s="11" t="n"/>
      <c r="Z104" s="14">
        <f>IF(A104="","",IF(Y104&lt;&gt;"",Y104-B104,TODAY()-B104))</f>
        <v/>
      </c>
      <c r="AA104" s="14">
        <f>IF(A104="","",IF(AND(Y104="",TODAY()&gt;S104),"OVERDUE",IF(AND(Y104&lt;&gt;"",Y104&gt;S104),"CLOSED LATE","")))</f>
        <v/>
      </c>
      <c r="AB104" s="12" t="n"/>
      <c r="AC104" s="13" t="n"/>
      <c r="AD104" s="21" t="n"/>
      <c r="AE104" s="12" t="n"/>
      <c r="AF104" s="14">
        <f>IF(A104="","",IF(Y104&lt;&gt;"","Closed",IF(TODAY()&gt;S104,"Overdue","Open")))</f>
        <v/>
      </c>
      <c r="AG104" s="12" t="n"/>
      <c r="AH104" s="13" t="n"/>
      <c r="AI104" s="12" t="n"/>
      <c r="AJ104" s="14">
        <f>IF(A104="","",IF(OR(C104="Major",C104="Systemic"),4,IF(C104="Minor",1,0))+IF(AND(Y104="",S104&lt;&gt;"",TODAY()&gt;S104),3,0)+IF(AB104="Yes",3,0)+IF(AG104="Yes",2,0)+IF(AND(Y104="",AE104&gt;=14),2,0)+IF(AND(Y104="",AD104&gt;=100000),2,0)+IF(AND(Y104&lt;&gt;"",V104=""),3,0)+IF(AND(Y104&lt;&gt;"",X104=""),2,0)+IF(AND(Y104&lt;&gt;"",Z104&gt;90),1,0))</f>
        <v/>
      </c>
      <c r="AK104" s="14">
        <f>IF(AJ104="","",IF(AJ104&gt;=10,"CRITICAL",IF(AJ104&gt;=6,"HIGH",IF(AJ104&gt;=3,"WATCH","LOW"))))</f>
        <v/>
      </c>
      <c r="AL104" s="20">
        <f>IF(AJ104="","",TRIM(IF(OR(C104="Major",C104="Systemic"),"major or systemic; ","")&amp;IF(AND(Y104="",S104&lt;&gt;"",TODAY()&gt;S104),"open past agreed date; ","")&amp;IF(AB104="Yes","authority or NOC linked; ","")&amp;IF(AG104="Yes","repeat of a previous NCR; ","")&amp;IF(AND(Y104="",AE104&gt;=14),"programme impact 14 days or more; ","")&amp;IF(AND(Y104="",AD104&gt;=100000),"cost impact AED 100,000 or more; ","")&amp;IF(AND(Y104&lt;&gt;"",V104=""),"closed with no verification date; ","")&amp;IF(AND(Y104&lt;&gt;"",X104=""),"closed without a closure certificate; ","")&amp;IF(AND(Y104&lt;&gt;"",Z104&gt;90),"closed more than 90 days after raising; ","")))</f>
        <v/>
      </c>
    </row>
    <row r="105">
      <c r="A105" s="10" t="n"/>
      <c r="B105" s="11" t="n"/>
      <c r="C105" s="12" t="n"/>
      <c r="D105" s="12" t="n"/>
      <c r="E105" s="12" t="n"/>
      <c r="F105" s="13" t="n"/>
      <c r="G105" s="13" t="n"/>
      <c r="H105" s="13" t="n"/>
      <c r="I105" s="13" t="n"/>
      <c r="J105" s="13" t="n"/>
      <c r="K105" s="13" t="n"/>
      <c r="L105" s="13" t="n"/>
      <c r="M105" s="11" t="n"/>
      <c r="N105" s="11" t="n"/>
      <c r="O105" s="12" t="n"/>
      <c r="P105" s="13" t="n"/>
      <c r="Q105" s="13" t="n"/>
      <c r="R105" s="13" t="n"/>
      <c r="S105" s="11" t="n"/>
      <c r="T105" s="11" t="n"/>
      <c r="U105" s="13" t="n"/>
      <c r="V105" s="11" t="n"/>
      <c r="W105" s="12" t="n"/>
      <c r="X105" s="12" t="n"/>
      <c r="Y105" s="11" t="n"/>
      <c r="Z105" s="14">
        <f>IF(A105="","",IF(Y105&lt;&gt;"",Y105-B105,TODAY()-B105))</f>
        <v/>
      </c>
      <c r="AA105" s="14">
        <f>IF(A105="","",IF(AND(Y105="",TODAY()&gt;S105),"OVERDUE",IF(AND(Y105&lt;&gt;"",Y105&gt;S105),"CLOSED LATE","")))</f>
        <v/>
      </c>
      <c r="AB105" s="12" t="n"/>
      <c r="AC105" s="13" t="n"/>
      <c r="AD105" s="21" t="n"/>
      <c r="AE105" s="12" t="n"/>
      <c r="AF105" s="14">
        <f>IF(A105="","",IF(Y105&lt;&gt;"","Closed",IF(TODAY()&gt;S105,"Overdue","Open")))</f>
        <v/>
      </c>
      <c r="AG105" s="12" t="n"/>
      <c r="AH105" s="13" t="n"/>
      <c r="AI105" s="12" t="n"/>
      <c r="AJ105" s="14">
        <f>IF(A105="","",IF(OR(C105="Major",C105="Systemic"),4,IF(C105="Minor",1,0))+IF(AND(Y105="",S105&lt;&gt;"",TODAY()&gt;S105),3,0)+IF(AB105="Yes",3,0)+IF(AG105="Yes",2,0)+IF(AND(Y105="",AE105&gt;=14),2,0)+IF(AND(Y105="",AD105&gt;=100000),2,0)+IF(AND(Y105&lt;&gt;"",V105=""),3,0)+IF(AND(Y105&lt;&gt;"",X105=""),2,0)+IF(AND(Y105&lt;&gt;"",Z105&gt;90),1,0))</f>
        <v/>
      </c>
      <c r="AK105" s="14">
        <f>IF(AJ105="","",IF(AJ105&gt;=10,"CRITICAL",IF(AJ105&gt;=6,"HIGH",IF(AJ105&gt;=3,"WATCH","LOW"))))</f>
        <v/>
      </c>
      <c r="AL105" s="20">
        <f>IF(AJ105="","",TRIM(IF(OR(C105="Major",C105="Systemic"),"major or systemic; ","")&amp;IF(AND(Y105="",S105&lt;&gt;"",TODAY()&gt;S105),"open past agreed date; ","")&amp;IF(AB105="Yes","authority or NOC linked; ","")&amp;IF(AG105="Yes","repeat of a previous NCR; ","")&amp;IF(AND(Y105="",AE105&gt;=14),"programme impact 14 days or more; ","")&amp;IF(AND(Y105="",AD105&gt;=100000),"cost impact AED 100,000 or more; ","")&amp;IF(AND(Y105&lt;&gt;"",V105=""),"closed with no verification date; ","")&amp;IF(AND(Y105&lt;&gt;"",X105=""),"closed without a closure certificate; ","")&amp;IF(AND(Y105&lt;&gt;"",Z105&gt;90),"closed more than 90 days after raising; ","")))</f>
        <v/>
      </c>
    </row>
    <row r="106">
      <c r="A106" s="10" t="n"/>
      <c r="B106" s="11" t="n"/>
      <c r="C106" s="12" t="n"/>
      <c r="D106" s="12" t="n"/>
      <c r="E106" s="12" t="n"/>
      <c r="F106" s="13" t="n"/>
      <c r="G106" s="13" t="n"/>
      <c r="H106" s="13" t="n"/>
      <c r="I106" s="13" t="n"/>
      <c r="J106" s="13" t="n"/>
      <c r="K106" s="13" t="n"/>
      <c r="L106" s="13" t="n"/>
      <c r="M106" s="11" t="n"/>
      <c r="N106" s="11" t="n"/>
      <c r="O106" s="12" t="n"/>
      <c r="P106" s="13" t="n"/>
      <c r="Q106" s="13" t="n"/>
      <c r="R106" s="13" t="n"/>
      <c r="S106" s="11" t="n"/>
      <c r="T106" s="11" t="n"/>
      <c r="U106" s="13" t="n"/>
      <c r="V106" s="11" t="n"/>
      <c r="W106" s="12" t="n"/>
      <c r="X106" s="12" t="n"/>
      <c r="Y106" s="11" t="n"/>
      <c r="Z106" s="14">
        <f>IF(A106="","",IF(Y106&lt;&gt;"",Y106-B106,TODAY()-B106))</f>
        <v/>
      </c>
      <c r="AA106" s="14">
        <f>IF(A106="","",IF(AND(Y106="",TODAY()&gt;S106),"OVERDUE",IF(AND(Y106&lt;&gt;"",Y106&gt;S106),"CLOSED LATE","")))</f>
        <v/>
      </c>
      <c r="AB106" s="12" t="n"/>
      <c r="AC106" s="13" t="n"/>
      <c r="AD106" s="21" t="n"/>
      <c r="AE106" s="12" t="n"/>
      <c r="AF106" s="14">
        <f>IF(A106="","",IF(Y106&lt;&gt;"","Closed",IF(TODAY()&gt;S106,"Overdue","Open")))</f>
        <v/>
      </c>
      <c r="AG106" s="12" t="n"/>
      <c r="AH106" s="13" t="n"/>
      <c r="AI106" s="12" t="n"/>
      <c r="AJ106" s="14">
        <f>IF(A106="","",IF(OR(C106="Major",C106="Systemic"),4,IF(C106="Minor",1,0))+IF(AND(Y106="",S106&lt;&gt;"",TODAY()&gt;S106),3,0)+IF(AB106="Yes",3,0)+IF(AG106="Yes",2,0)+IF(AND(Y106="",AE106&gt;=14),2,0)+IF(AND(Y106="",AD106&gt;=100000),2,0)+IF(AND(Y106&lt;&gt;"",V106=""),3,0)+IF(AND(Y106&lt;&gt;"",X106=""),2,0)+IF(AND(Y106&lt;&gt;"",Z106&gt;90),1,0))</f>
        <v/>
      </c>
      <c r="AK106" s="14">
        <f>IF(AJ106="","",IF(AJ106&gt;=10,"CRITICAL",IF(AJ106&gt;=6,"HIGH",IF(AJ106&gt;=3,"WATCH","LOW"))))</f>
        <v/>
      </c>
      <c r="AL106" s="20">
        <f>IF(AJ106="","",TRIM(IF(OR(C106="Major",C106="Systemic"),"major or systemic; ","")&amp;IF(AND(Y106="",S106&lt;&gt;"",TODAY()&gt;S106),"open past agreed date; ","")&amp;IF(AB106="Yes","authority or NOC linked; ","")&amp;IF(AG106="Yes","repeat of a previous NCR; ","")&amp;IF(AND(Y106="",AE106&gt;=14),"programme impact 14 days or more; ","")&amp;IF(AND(Y106="",AD106&gt;=100000),"cost impact AED 100,000 or more; ","")&amp;IF(AND(Y106&lt;&gt;"",V106=""),"closed with no verification date; ","")&amp;IF(AND(Y106&lt;&gt;"",X106=""),"closed without a closure certificate; ","")&amp;IF(AND(Y106&lt;&gt;"",Z106&gt;90),"closed more than 90 days after raising; ","")))</f>
        <v/>
      </c>
    </row>
    <row r="107">
      <c r="A107" s="10" t="n"/>
      <c r="B107" s="11" t="n"/>
      <c r="C107" s="12" t="n"/>
      <c r="D107" s="12" t="n"/>
      <c r="E107" s="12" t="n"/>
      <c r="F107" s="13" t="n"/>
      <c r="G107" s="13" t="n"/>
      <c r="H107" s="13" t="n"/>
      <c r="I107" s="13" t="n"/>
      <c r="J107" s="13" t="n"/>
      <c r="K107" s="13" t="n"/>
      <c r="L107" s="13" t="n"/>
      <c r="M107" s="11" t="n"/>
      <c r="N107" s="11" t="n"/>
      <c r="O107" s="12" t="n"/>
      <c r="P107" s="13" t="n"/>
      <c r="Q107" s="13" t="n"/>
      <c r="R107" s="13" t="n"/>
      <c r="S107" s="11" t="n"/>
      <c r="T107" s="11" t="n"/>
      <c r="U107" s="13" t="n"/>
      <c r="V107" s="11" t="n"/>
      <c r="W107" s="12" t="n"/>
      <c r="X107" s="12" t="n"/>
      <c r="Y107" s="11" t="n"/>
      <c r="Z107" s="14">
        <f>IF(A107="","",IF(Y107&lt;&gt;"",Y107-B107,TODAY()-B107))</f>
        <v/>
      </c>
      <c r="AA107" s="14">
        <f>IF(A107="","",IF(AND(Y107="",TODAY()&gt;S107),"OVERDUE",IF(AND(Y107&lt;&gt;"",Y107&gt;S107),"CLOSED LATE","")))</f>
        <v/>
      </c>
      <c r="AB107" s="12" t="n"/>
      <c r="AC107" s="13" t="n"/>
      <c r="AD107" s="21" t="n"/>
      <c r="AE107" s="12" t="n"/>
      <c r="AF107" s="14">
        <f>IF(A107="","",IF(Y107&lt;&gt;"","Closed",IF(TODAY()&gt;S107,"Overdue","Open")))</f>
        <v/>
      </c>
      <c r="AG107" s="12" t="n"/>
      <c r="AH107" s="13" t="n"/>
      <c r="AI107" s="12" t="n"/>
      <c r="AJ107" s="14">
        <f>IF(A107="","",IF(OR(C107="Major",C107="Systemic"),4,IF(C107="Minor",1,0))+IF(AND(Y107="",S107&lt;&gt;"",TODAY()&gt;S107),3,0)+IF(AB107="Yes",3,0)+IF(AG107="Yes",2,0)+IF(AND(Y107="",AE107&gt;=14),2,0)+IF(AND(Y107="",AD107&gt;=100000),2,0)+IF(AND(Y107&lt;&gt;"",V107=""),3,0)+IF(AND(Y107&lt;&gt;"",X107=""),2,0)+IF(AND(Y107&lt;&gt;"",Z107&gt;90),1,0))</f>
        <v/>
      </c>
      <c r="AK107" s="14">
        <f>IF(AJ107="","",IF(AJ107&gt;=10,"CRITICAL",IF(AJ107&gt;=6,"HIGH",IF(AJ107&gt;=3,"WATCH","LOW"))))</f>
        <v/>
      </c>
      <c r="AL107" s="20">
        <f>IF(AJ107="","",TRIM(IF(OR(C107="Major",C107="Systemic"),"major or systemic; ","")&amp;IF(AND(Y107="",S107&lt;&gt;"",TODAY()&gt;S107),"open past agreed date; ","")&amp;IF(AB107="Yes","authority or NOC linked; ","")&amp;IF(AG107="Yes","repeat of a previous NCR; ","")&amp;IF(AND(Y107="",AE107&gt;=14),"programme impact 14 days or more; ","")&amp;IF(AND(Y107="",AD107&gt;=100000),"cost impact AED 100,000 or more; ","")&amp;IF(AND(Y107&lt;&gt;"",V107=""),"closed with no verification date; ","")&amp;IF(AND(Y107&lt;&gt;"",X107=""),"closed without a closure certificate; ","")&amp;IF(AND(Y107&lt;&gt;"",Z107&gt;90),"closed more than 90 days after raising; ","")))</f>
        <v/>
      </c>
    </row>
    <row r="108">
      <c r="A108" s="10" t="n"/>
      <c r="B108" s="11" t="n"/>
      <c r="C108" s="12" t="n"/>
      <c r="D108" s="12" t="n"/>
      <c r="E108" s="12" t="n"/>
      <c r="F108" s="13" t="n"/>
      <c r="G108" s="13" t="n"/>
      <c r="H108" s="13" t="n"/>
      <c r="I108" s="13" t="n"/>
      <c r="J108" s="13" t="n"/>
      <c r="K108" s="13" t="n"/>
      <c r="L108" s="13" t="n"/>
      <c r="M108" s="11" t="n"/>
      <c r="N108" s="11" t="n"/>
      <c r="O108" s="12" t="n"/>
      <c r="P108" s="13" t="n"/>
      <c r="Q108" s="13" t="n"/>
      <c r="R108" s="13" t="n"/>
      <c r="S108" s="11" t="n"/>
      <c r="T108" s="11" t="n"/>
      <c r="U108" s="13" t="n"/>
      <c r="V108" s="11" t="n"/>
      <c r="W108" s="12" t="n"/>
      <c r="X108" s="12" t="n"/>
      <c r="Y108" s="11" t="n"/>
      <c r="Z108" s="14">
        <f>IF(A108="","",IF(Y108&lt;&gt;"",Y108-B108,TODAY()-B108))</f>
        <v/>
      </c>
      <c r="AA108" s="14">
        <f>IF(A108="","",IF(AND(Y108="",TODAY()&gt;S108),"OVERDUE",IF(AND(Y108&lt;&gt;"",Y108&gt;S108),"CLOSED LATE","")))</f>
        <v/>
      </c>
      <c r="AB108" s="12" t="n"/>
      <c r="AC108" s="13" t="n"/>
      <c r="AD108" s="21" t="n"/>
      <c r="AE108" s="12" t="n"/>
      <c r="AF108" s="14">
        <f>IF(A108="","",IF(Y108&lt;&gt;"","Closed",IF(TODAY()&gt;S108,"Overdue","Open")))</f>
        <v/>
      </c>
      <c r="AG108" s="12" t="n"/>
      <c r="AH108" s="13" t="n"/>
      <c r="AI108" s="12" t="n"/>
      <c r="AJ108" s="14">
        <f>IF(A108="","",IF(OR(C108="Major",C108="Systemic"),4,IF(C108="Minor",1,0))+IF(AND(Y108="",S108&lt;&gt;"",TODAY()&gt;S108),3,0)+IF(AB108="Yes",3,0)+IF(AG108="Yes",2,0)+IF(AND(Y108="",AE108&gt;=14),2,0)+IF(AND(Y108="",AD108&gt;=100000),2,0)+IF(AND(Y108&lt;&gt;"",V108=""),3,0)+IF(AND(Y108&lt;&gt;"",X108=""),2,0)+IF(AND(Y108&lt;&gt;"",Z108&gt;90),1,0))</f>
        <v/>
      </c>
      <c r="AK108" s="14">
        <f>IF(AJ108="","",IF(AJ108&gt;=10,"CRITICAL",IF(AJ108&gt;=6,"HIGH",IF(AJ108&gt;=3,"WATCH","LOW"))))</f>
        <v/>
      </c>
      <c r="AL108" s="20">
        <f>IF(AJ108="","",TRIM(IF(OR(C108="Major",C108="Systemic"),"major or systemic; ","")&amp;IF(AND(Y108="",S108&lt;&gt;"",TODAY()&gt;S108),"open past agreed date; ","")&amp;IF(AB108="Yes","authority or NOC linked; ","")&amp;IF(AG108="Yes","repeat of a previous NCR; ","")&amp;IF(AND(Y108="",AE108&gt;=14),"programme impact 14 days or more; ","")&amp;IF(AND(Y108="",AD108&gt;=100000),"cost impact AED 100,000 or more; ","")&amp;IF(AND(Y108&lt;&gt;"",V108=""),"closed with no verification date; ","")&amp;IF(AND(Y108&lt;&gt;"",X108=""),"closed without a closure certificate; ","")&amp;IF(AND(Y108&lt;&gt;"",Z108&gt;90),"closed more than 90 days after raising; ","")))</f>
        <v/>
      </c>
    </row>
    <row r="109">
      <c r="A109" s="10" t="n"/>
      <c r="B109" s="11" t="n"/>
      <c r="C109" s="12" t="n"/>
      <c r="D109" s="12" t="n"/>
      <c r="E109" s="12" t="n"/>
      <c r="F109" s="13" t="n"/>
      <c r="G109" s="13" t="n"/>
      <c r="H109" s="13" t="n"/>
      <c r="I109" s="13" t="n"/>
      <c r="J109" s="13" t="n"/>
      <c r="K109" s="13" t="n"/>
      <c r="L109" s="13" t="n"/>
      <c r="M109" s="11" t="n"/>
      <c r="N109" s="11" t="n"/>
      <c r="O109" s="12" t="n"/>
      <c r="P109" s="13" t="n"/>
      <c r="Q109" s="13" t="n"/>
      <c r="R109" s="13" t="n"/>
      <c r="S109" s="11" t="n"/>
      <c r="T109" s="11" t="n"/>
      <c r="U109" s="13" t="n"/>
      <c r="V109" s="11" t="n"/>
      <c r="W109" s="12" t="n"/>
      <c r="X109" s="12" t="n"/>
      <c r="Y109" s="11" t="n"/>
      <c r="Z109" s="14">
        <f>IF(A109="","",IF(Y109&lt;&gt;"",Y109-B109,TODAY()-B109))</f>
        <v/>
      </c>
      <c r="AA109" s="14">
        <f>IF(A109="","",IF(AND(Y109="",TODAY()&gt;S109),"OVERDUE",IF(AND(Y109&lt;&gt;"",Y109&gt;S109),"CLOSED LATE","")))</f>
        <v/>
      </c>
      <c r="AB109" s="12" t="n"/>
      <c r="AC109" s="13" t="n"/>
      <c r="AD109" s="21" t="n"/>
      <c r="AE109" s="12" t="n"/>
      <c r="AF109" s="14">
        <f>IF(A109="","",IF(Y109&lt;&gt;"","Closed",IF(TODAY()&gt;S109,"Overdue","Open")))</f>
        <v/>
      </c>
      <c r="AG109" s="12" t="n"/>
      <c r="AH109" s="13" t="n"/>
      <c r="AI109" s="12" t="n"/>
      <c r="AJ109" s="14">
        <f>IF(A109="","",IF(OR(C109="Major",C109="Systemic"),4,IF(C109="Minor",1,0))+IF(AND(Y109="",S109&lt;&gt;"",TODAY()&gt;S109),3,0)+IF(AB109="Yes",3,0)+IF(AG109="Yes",2,0)+IF(AND(Y109="",AE109&gt;=14),2,0)+IF(AND(Y109="",AD109&gt;=100000),2,0)+IF(AND(Y109&lt;&gt;"",V109=""),3,0)+IF(AND(Y109&lt;&gt;"",X109=""),2,0)+IF(AND(Y109&lt;&gt;"",Z109&gt;90),1,0))</f>
        <v/>
      </c>
      <c r="AK109" s="14">
        <f>IF(AJ109="","",IF(AJ109&gt;=10,"CRITICAL",IF(AJ109&gt;=6,"HIGH",IF(AJ109&gt;=3,"WATCH","LOW"))))</f>
        <v/>
      </c>
      <c r="AL109" s="20">
        <f>IF(AJ109="","",TRIM(IF(OR(C109="Major",C109="Systemic"),"major or systemic; ","")&amp;IF(AND(Y109="",S109&lt;&gt;"",TODAY()&gt;S109),"open past agreed date; ","")&amp;IF(AB109="Yes","authority or NOC linked; ","")&amp;IF(AG109="Yes","repeat of a previous NCR; ","")&amp;IF(AND(Y109="",AE109&gt;=14),"programme impact 14 days or more; ","")&amp;IF(AND(Y109="",AD109&gt;=100000),"cost impact AED 100,000 or more; ","")&amp;IF(AND(Y109&lt;&gt;"",V109=""),"closed with no verification date; ","")&amp;IF(AND(Y109&lt;&gt;"",X109=""),"closed without a closure certificate; ","")&amp;IF(AND(Y109&lt;&gt;"",Z109&gt;90),"closed more than 90 days after raising; ","")))</f>
        <v/>
      </c>
    </row>
    <row r="110">
      <c r="A110" s="10" t="n"/>
      <c r="B110" s="11" t="n"/>
      <c r="C110" s="12" t="n"/>
      <c r="D110" s="12" t="n"/>
      <c r="E110" s="12" t="n"/>
      <c r="F110" s="13" t="n"/>
      <c r="G110" s="13" t="n"/>
      <c r="H110" s="13" t="n"/>
      <c r="I110" s="13" t="n"/>
      <c r="J110" s="13" t="n"/>
      <c r="K110" s="13" t="n"/>
      <c r="L110" s="13" t="n"/>
      <c r="M110" s="11" t="n"/>
      <c r="N110" s="11" t="n"/>
      <c r="O110" s="12" t="n"/>
      <c r="P110" s="13" t="n"/>
      <c r="Q110" s="13" t="n"/>
      <c r="R110" s="13" t="n"/>
      <c r="S110" s="11" t="n"/>
      <c r="T110" s="11" t="n"/>
      <c r="U110" s="13" t="n"/>
      <c r="V110" s="11" t="n"/>
      <c r="W110" s="12" t="n"/>
      <c r="X110" s="12" t="n"/>
      <c r="Y110" s="11" t="n"/>
      <c r="Z110" s="14">
        <f>IF(A110="","",IF(Y110&lt;&gt;"",Y110-B110,TODAY()-B110))</f>
        <v/>
      </c>
      <c r="AA110" s="14">
        <f>IF(A110="","",IF(AND(Y110="",TODAY()&gt;S110),"OVERDUE",IF(AND(Y110&lt;&gt;"",Y110&gt;S110),"CLOSED LATE","")))</f>
        <v/>
      </c>
      <c r="AB110" s="12" t="n"/>
      <c r="AC110" s="13" t="n"/>
      <c r="AD110" s="21" t="n"/>
      <c r="AE110" s="12" t="n"/>
      <c r="AF110" s="14">
        <f>IF(A110="","",IF(Y110&lt;&gt;"","Closed",IF(TODAY()&gt;S110,"Overdue","Open")))</f>
        <v/>
      </c>
      <c r="AG110" s="12" t="n"/>
      <c r="AH110" s="13" t="n"/>
      <c r="AI110" s="12" t="n"/>
      <c r="AJ110" s="14">
        <f>IF(A110="","",IF(OR(C110="Major",C110="Systemic"),4,IF(C110="Minor",1,0))+IF(AND(Y110="",S110&lt;&gt;"",TODAY()&gt;S110),3,0)+IF(AB110="Yes",3,0)+IF(AG110="Yes",2,0)+IF(AND(Y110="",AE110&gt;=14),2,0)+IF(AND(Y110="",AD110&gt;=100000),2,0)+IF(AND(Y110&lt;&gt;"",V110=""),3,0)+IF(AND(Y110&lt;&gt;"",X110=""),2,0)+IF(AND(Y110&lt;&gt;"",Z110&gt;90),1,0))</f>
        <v/>
      </c>
      <c r="AK110" s="14">
        <f>IF(AJ110="","",IF(AJ110&gt;=10,"CRITICAL",IF(AJ110&gt;=6,"HIGH",IF(AJ110&gt;=3,"WATCH","LOW"))))</f>
        <v/>
      </c>
      <c r="AL110" s="20">
        <f>IF(AJ110="","",TRIM(IF(OR(C110="Major",C110="Systemic"),"major or systemic; ","")&amp;IF(AND(Y110="",S110&lt;&gt;"",TODAY()&gt;S110),"open past agreed date; ","")&amp;IF(AB110="Yes","authority or NOC linked; ","")&amp;IF(AG110="Yes","repeat of a previous NCR; ","")&amp;IF(AND(Y110="",AE110&gt;=14),"programme impact 14 days or more; ","")&amp;IF(AND(Y110="",AD110&gt;=100000),"cost impact AED 100,000 or more; ","")&amp;IF(AND(Y110&lt;&gt;"",V110=""),"closed with no verification date; ","")&amp;IF(AND(Y110&lt;&gt;"",X110=""),"closed without a closure certificate; ","")&amp;IF(AND(Y110&lt;&gt;"",Z110&gt;90),"closed more than 90 days after raising; ","")))</f>
        <v/>
      </c>
    </row>
    <row r="111">
      <c r="A111" s="10" t="n"/>
      <c r="B111" s="11" t="n"/>
      <c r="C111" s="12" t="n"/>
      <c r="D111" s="12" t="n"/>
      <c r="E111" s="12" t="n"/>
      <c r="F111" s="13" t="n"/>
      <c r="G111" s="13" t="n"/>
      <c r="H111" s="13" t="n"/>
      <c r="I111" s="13" t="n"/>
      <c r="J111" s="13" t="n"/>
      <c r="K111" s="13" t="n"/>
      <c r="L111" s="13" t="n"/>
      <c r="M111" s="11" t="n"/>
      <c r="N111" s="11" t="n"/>
      <c r="O111" s="12" t="n"/>
      <c r="P111" s="13" t="n"/>
      <c r="Q111" s="13" t="n"/>
      <c r="R111" s="13" t="n"/>
      <c r="S111" s="11" t="n"/>
      <c r="T111" s="11" t="n"/>
      <c r="U111" s="13" t="n"/>
      <c r="V111" s="11" t="n"/>
      <c r="W111" s="12" t="n"/>
      <c r="X111" s="12" t="n"/>
      <c r="Y111" s="11" t="n"/>
      <c r="Z111" s="14">
        <f>IF(A111="","",IF(Y111&lt;&gt;"",Y111-B111,TODAY()-B111))</f>
        <v/>
      </c>
      <c r="AA111" s="14">
        <f>IF(A111="","",IF(AND(Y111="",TODAY()&gt;S111),"OVERDUE",IF(AND(Y111&lt;&gt;"",Y111&gt;S111),"CLOSED LATE","")))</f>
        <v/>
      </c>
      <c r="AB111" s="12" t="n"/>
      <c r="AC111" s="13" t="n"/>
      <c r="AD111" s="21" t="n"/>
      <c r="AE111" s="12" t="n"/>
      <c r="AF111" s="14">
        <f>IF(A111="","",IF(Y111&lt;&gt;"","Closed",IF(TODAY()&gt;S111,"Overdue","Open")))</f>
        <v/>
      </c>
      <c r="AG111" s="12" t="n"/>
      <c r="AH111" s="13" t="n"/>
      <c r="AI111" s="12" t="n"/>
      <c r="AJ111" s="14">
        <f>IF(A111="","",IF(OR(C111="Major",C111="Systemic"),4,IF(C111="Minor",1,0))+IF(AND(Y111="",S111&lt;&gt;"",TODAY()&gt;S111),3,0)+IF(AB111="Yes",3,0)+IF(AG111="Yes",2,0)+IF(AND(Y111="",AE111&gt;=14),2,0)+IF(AND(Y111="",AD111&gt;=100000),2,0)+IF(AND(Y111&lt;&gt;"",V111=""),3,0)+IF(AND(Y111&lt;&gt;"",X111=""),2,0)+IF(AND(Y111&lt;&gt;"",Z111&gt;90),1,0))</f>
        <v/>
      </c>
      <c r="AK111" s="14">
        <f>IF(AJ111="","",IF(AJ111&gt;=10,"CRITICAL",IF(AJ111&gt;=6,"HIGH",IF(AJ111&gt;=3,"WATCH","LOW"))))</f>
        <v/>
      </c>
      <c r="AL111" s="20">
        <f>IF(AJ111="","",TRIM(IF(OR(C111="Major",C111="Systemic"),"major or systemic; ","")&amp;IF(AND(Y111="",S111&lt;&gt;"",TODAY()&gt;S111),"open past agreed date; ","")&amp;IF(AB111="Yes","authority or NOC linked; ","")&amp;IF(AG111="Yes","repeat of a previous NCR; ","")&amp;IF(AND(Y111="",AE111&gt;=14),"programme impact 14 days or more; ","")&amp;IF(AND(Y111="",AD111&gt;=100000),"cost impact AED 100,000 or more; ","")&amp;IF(AND(Y111&lt;&gt;"",V111=""),"closed with no verification date; ","")&amp;IF(AND(Y111&lt;&gt;"",X111=""),"closed without a closure certificate; ","")&amp;IF(AND(Y111&lt;&gt;"",Z111&gt;90),"closed more than 90 days after raising; ","")))</f>
        <v/>
      </c>
    </row>
    <row r="112">
      <c r="A112" s="10" t="n"/>
      <c r="B112" s="11" t="n"/>
      <c r="C112" s="12" t="n"/>
      <c r="D112" s="12" t="n"/>
      <c r="E112" s="12" t="n"/>
      <c r="F112" s="13" t="n"/>
      <c r="G112" s="13" t="n"/>
      <c r="H112" s="13" t="n"/>
      <c r="I112" s="13" t="n"/>
      <c r="J112" s="13" t="n"/>
      <c r="K112" s="13" t="n"/>
      <c r="L112" s="13" t="n"/>
      <c r="M112" s="11" t="n"/>
      <c r="N112" s="11" t="n"/>
      <c r="O112" s="12" t="n"/>
      <c r="P112" s="13" t="n"/>
      <c r="Q112" s="13" t="n"/>
      <c r="R112" s="13" t="n"/>
      <c r="S112" s="11" t="n"/>
      <c r="T112" s="11" t="n"/>
      <c r="U112" s="13" t="n"/>
      <c r="V112" s="11" t="n"/>
      <c r="W112" s="12" t="n"/>
      <c r="X112" s="12" t="n"/>
      <c r="Y112" s="11" t="n"/>
      <c r="Z112" s="14">
        <f>IF(A112="","",IF(Y112&lt;&gt;"",Y112-B112,TODAY()-B112))</f>
        <v/>
      </c>
      <c r="AA112" s="14">
        <f>IF(A112="","",IF(AND(Y112="",TODAY()&gt;S112),"OVERDUE",IF(AND(Y112&lt;&gt;"",Y112&gt;S112),"CLOSED LATE","")))</f>
        <v/>
      </c>
      <c r="AB112" s="12" t="n"/>
      <c r="AC112" s="13" t="n"/>
      <c r="AD112" s="21" t="n"/>
      <c r="AE112" s="12" t="n"/>
      <c r="AF112" s="14">
        <f>IF(A112="","",IF(Y112&lt;&gt;"","Closed",IF(TODAY()&gt;S112,"Overdue","Open")))</f>
        <v/>
      </c>
      <c r="AG112" s="12" t="n"/>
      <c r="AH112" s="13" t="n"/>
      <c r="AI112" s="12" t="n"/>
      <c r="AJ112" s="14">
        <f>IF(A112="","",IF(OR(C112="Major",C112="Systemic"),4,IF(C112="Minor",1,0))+IF(AND(Y112="",S112&lt;&gt;"",TODAY()&gt;S112),3,0)+IF(AB112="Yes",3,0)+IF(AG112="Yes",2,0)+IF(AND(Y112="",AE112&gt;=14),2,0)+IF(AND(Y112="",AD112&gt;=100000),2,0)+IF(AND(Y112&lt;&gt;"",V112=""),3,0)+IF(AND(Y112&lt;&gt;"",X112=""),2,0)+IF(AND(Y112&lt;&gt;"",Z112&gt;90),1,0))</f>
        <v/>
      </c>
      <c r="AK112" s="14">
        <f>IF(AJ112="","",IF(AJ112&gt;=10,"CRITICAL",IF(AJ112&gt;=6,"HIGH",IF(AJ112&gt;=3,"WATCH","LOW"))))</f>
        <v/>
      </c>
      <c r="AL112" s="20">
        <f>IF(AJ112="","",TRIM(IF(OR(C112="Major",C112="Systemic"),"major or systemic; ","")&amp;IF(AND(Y112="",S112&lt;&gt;"",TODAY()&gt;S112),"open past agreed date; ","")&amp;IF(AB112="Yes","authority or NOC linked; ","")&amp;IF(AG112="Yes","repeat of a previous NCR; ","")&amp;IF(AND(Y112="",AE112&gt;=14),"programme impact 14 days or more; ","")&amp;IF(AND(Y112="",AD112&gt;=100000),"cost impact AED 100,000 or more; ","")&amp;IF(AND(Y112&lt;&gt;"",V112=""),"closed with no verification date; ","")&amp;IF(AND(Y112&lt;&gt;"",X112=""),"closed without a closure certificate; ","")&amp;IF(AND(Y112&lt;&gt;"",Z112&gt;90),"closed more than 90 days after raising; ","")))</f>
        <v/>
      </c>
    </row>
    <row r="113">
      <c r="A113" s="10" t="n"/>
      <c r="B113" s="11" t="n"/>
      <c r="C113" s="12" t="n"/>
      <c r="D113" s="12" t="n"/>
      <c r="E113" s="12" t="n"/>
      <c r="F113" s="13" t="n"/>
      <c r="G113" s="13" t="n"/>
      <c r="H113" s="13" t="n"/>
      <c r="I113" s="13" t="n"/>
      <c r="J113" s="13" t="n"/>
      <c r="K113" s="13" t="n"/>
      <c r="L113" s="13" t="n"/>
      <c r="M113" s="11" t="n"/>
      <c r="N113" s="11" t="n"/>
      <c r="O113" s="12" t="n"/>
      <c r="P113" s="13" t="n"/>
      <c r="Q113" s="13" t="n"/>
      <c r="R113" s="13" t="n"/>
      <c r="S113" s="11" t="n"/>
      <c r="T113" s="11" t="n"/>
      <c r="U113" s="13" t="n"/>
      <c r="V113" s="11" t="n"/>
      <c r="W113" s="12" t="n"/>
      <c r="X113" s="12" t="n"/>
      <c r="Y113" s="11" t="n"/>
      <c r="Z113" s="14">
        <f>IF(A113="","",IF(Y113&lt;&gt;"",Y113-B113,TODAY()-B113))</f>
        <v/>
      </c>
      <c r="AA113" s="14">
        <f>IF(A113="","",IF(AND(Y113="",TODAY()&gt;S113),"OVERDUE",IF(AND(Y113&lt;&gt;"",Y113&gt;S113),"CLOSED LATE","")))</f>
        <v/>
      </c>
      <c r="AB113" s="12" t="n"/>
      <c r="AC113" s="13" t="n"/>
      <c r="AD113" s="21" t="n"/>
      <c r="AE113" s="12" t="n"/>
      <c r="AF113" s="14">
        <f>IF(A113="","",IF(Y113&lt;&gt;"","Closed",IF(TODAY()&gt;S113,"Overdue","Open")))</f>
        <v/>
      </c>
      <c r="AG113" s="12" t="n"/>
      <c r="AH113" s="13" t="n"/>
      <c r="AI113" s="12" t="n"/>
      <c r="AJ113" s="14">
        <f>IF(A113="","",IF(OR(C113="Major",C113="Systemic"),4,IF(C113="Minor",1,0))+IF(AND(Y113="",S113&lt;&gt;"",TODAY()&gt;S113),3,0)+IF(AB113="Yes",3,0)+IF(AG113="Yes",2,0)+IF(AND(Y113="",AE113&gt;=14),2,0)+IF(AND(Y113="",AD113&gt;=100000),2,0)+IF(AND(Y113&lt;&gt;"",V113=""),3,0)+IF(AND(Y113&lt;&gt;"",X113=""),2,0)+IF(AND(Y113&lt;&gt;"",Z113&gt;90),1,0))</f>
        <v/>
      </c>
      <c r="AK113" s="14">
        <f>IF(AJ113="","",IF(AJ113&gt;=10,"CRITICAL",IF(AJ113&gt;=6,"HIGH",IF(AJ113&gt;=3,"WATCH","LOW"))))</f>
        <v/>
      </c>
      <c r="AL113" s="20">
        <f>IF(AJ113="","",TRIM(IF(OR(C113="Major",C113="Systemic"),"major or systemic; ","")&amp;IF(AND(Y113="",S113&lt;&gt;"",TODAY()&gt;S113),"open past agreed date; ","")&amp;IF(AB113="Yes","authority or NOC linked; ","")&amp;IF(AG113="Yes","repeat of a previous NCR; ","")&amp;IF(AND(Y113="",AE113&gt;=14),"programme impact 14 days or more; ","")&amp;IF(AND(Y113="",AD113&gt;=100000),"cost impact AED 100,000 or more; ","")&amp;IF(AND(Y113&lt;&gt;"",V113=""),"closed with no verification date; ","")&amp;IF(AND(Y113&lt;&gt;"",X113=""),"closed without a closure certificate; ","")&amp;IF(AND(Y113&lt;&gt;"",Z113&gt;90),"closed more than 90 days after raising; ","")))</f>
        <v/>
      </c>
    </row>
    <row r="114">
      <c r="A114" s="10" t="n"/>
      <c r="B114" s="11" t="n"/>
      <c r="C114" s="12" t="n"/>
      <c r="D114" s="12" t="n"/>
      <c r="E114" s="12" t="n"/>
      <c r="F114" s="13" t="n"/>
      <c r="G114" s="13" t="n"/>
      <c r="H114" s="13" t="n"/>
      <c r="I114" s="13" t="n"/>
      <c r="J114" s="13" t="n"/>
      <c r="K114" s="13" t="n"/>
      <c r="L114" s="13" t="n"/>
      <c r="M114" s="11" t="n"/>
      <c r="N114" s="11" t="n"/>
      <c r="O114" s="12" t="n"/>
      <c r="P114" s="13" t="n"/>
      <c r="Q114" s="13" t="n"/>
      <c r="R114" s="13" t="n"/>
      <c r="S114" s="11" t="n"/>
      <c r="T114" s="11" t="n"/>
      <c r="U114" s="13" t="n"/>
      <c r="V114" s="11" t="n"/>
      <c r="W114" s="12" t="n"/>
      <c r="X114" s="12" t="n"/>
      <c r="Y114" s="11" t="n"/>
      <c r="Z114" s="14">
        <f>IF(A114="","",IF(Y114&lt;&gt;"",Y114-B114,TODAY()-B114))</f>
        <v/>
      </c>
      <c r="AA114" s="14">
        <f>IF(A114="","",IF(AND(Y114="",TODAY()&gt;S114),"OVERDUE",IF(AND(Y114&lt;&gt;"",Y114&gt;S114),"CLOSED LATE","")))</f>
        <v/>
      </c>
      <c r="AB114" s="12" t="n"/>
      <c r="AC114" s="13" t="n"/>
      <c r="AD114" s="21" t="n"/>
      <c r="AE114" s="12" t="n"/>
      <c r="AF114" s="14">
        <f>IF(A114="","",IF(Y114&lt;&gt;"","Closed",IF(TODAY()&gt;S114,"Overdue","Open")))</f>
        <v/>
      </c>
      <c r="AG114" s="12" t="n"/>
      <c r="AH114" s="13" t="n"/>
      <c r="AI114" s="12" t="n"/>
      <c r="AJ114" s="14">
        <f>IF(A114="","",IF(OR(C114="Major",C114="Systemic"),4,IF(C114="Minor",1,0))+IF(AND(Y114="",S114&lt;&gt;"",TODAY()&gt;S114),3,0)+IF(AB114="Yes",3,0)+IF(AG114="Yes",2,0)+IF(AND(Y114="",AE114&gt;=14),2,0)+IF(AND(Y114="",AD114&gt;=100000),2,0)+IF(AND(Y114&lt;&gt;"",V114=""),3,0)+IF(AND(Y114&lt;&gt;"",X114=""),2,0)+IF(AND(Y114&lt;&gt;"",Z114&gt;90),1,0))</f>
        <v/>
      </c>
      <c r="AK114" s="14">
        <f>IF(AJ114="","",IF(AJ114&gt;=10,"CRITICAL",IF(AJ114&gt;=6,"HIGH",IF(AJ114&gt;=3,"WATCH","LOW"))))</f>
        <v/>
      </c>
      <c r="AL114" s="20">
        <f>IF(AJ114="","",TRIM(IF(OR(C114="Major",C114="Systemic"),"major or systemic; ","")&amp;IF(AND(Y114="",S114&lt;&gt;"",TODAY()&gt;S114),"open past agreed date; ","")&amp;IF(AB114="Yes","authority or NOC linked; ","")&amp;IF(AG114="Yes","repeat of a previous NCR; ","")&amp;IF(AND(Y114="",AE114&gt;=14),"programme impact 14 days or more; ","")&amp;IF(AND(Y114="",AD114&gt;=100000),"cost impact AED 100,000 or more; ","")&amp;IF(AND(Y114&lt;&gt;"",V114=""),"closed with no verification date; ","")&amp;IF(AND(Y114&lt;&gt;"",X114=""),"closed without a closure certificate; ","")&amp;IF(AND(Y114&lt;&gt;"",Z114&gt;90),"closed more than 90 days after raising; ","")))</f>
        <v/>
      </c>
    </row>
    <row r="115">
      <c r="A115" s="10" t="n"/>
      <c r="B115" s="11" t="n"/>
      <c r="C115" s="12" t="n"/>
      <c r="D115" s="12" t="n"/>
      <c r="E115" s="12" t="n"/>
      <c r="F115" s="13" t="n"/>
      <c r="G115" s="13" t="n"/>
      <c r="H115" s="13" t="n"/>
      <c r="I115" s="13" t="n"/>
      <c r="J115" s="13" t="n"/>
      <c r="K115" s="13" t="n"/>
      <c r="L115" s="13" t="n"/>
      <c r="M115" s="11" t="n"/>
      <c r="N115" s="11" t="n"/>
      <c r="O115" s="12" t="n"/>
      <c r="P115" s="13" t="n"/>
      <c r="Q115" s="13" t="n"/>
      <c r="R115" s="13" t="n"/>
      <c r="S115" s="11" t="n"/>
      <c r="T115" s="11" t="n"/>
      <c r="U115" s="13" t="n"/>
      <c r="V115" s="11" t="n"/>
      <c r="W115" s="12" t="n"/>
      <c r="X115" s="12" t="n"/>
      <c r="Y115" s="11" t="n"/>
      <c r="Z115" s="14">
        <f>IF(A115="","",IF(Y115&lt;&gt;"",Y115-B115,TODAY()-B115))</f>
        <v/>
      </c>
      <c r="AA115" s="14">
        <f>IF(A115="","",IF(AND(Y115="",TODAY()&gt;S115),"OVERDUE",IF(AND(Y115&lt;&gt;"",Y115&gt;S115),"CLOSED LATE","")))</f>
        <v/>
      </c>
      <c r="AB115" s="12" t="n"/>
      <c r="AC115" s="13" t="n"/>
      <c r="AD115" s="21" t="n"/>
      <c r="AE115" s="12" t="n"/>
      <c r="AF115" s="14">
        <f>IF(A115="","",IF(Y115&lt;&gt;"","Closed",IF(TODAY()&gt;S115,"Overdue","Open")))</f>
        <v/>
      </c>
      <c r="AG115" s="12" t="n"/>
      <c r="AH115" s="13" t="n"/>
      <c r="AI115" s="12" t="n"/>
      <c r="AJ115" s="14">
        <f>IF(A115="","",IF(OR(C115="Major",C115="Systemic"),4,IF(C115="Minor",1,0))+IF(AND(Y115="",S115&lt;&gt;"",TODAY()&gt;S115),3,0)+IF(AB115="Yes",3,0)+IF(AG115="Yes",2,0)+IF(AND(Y115="",AE115&gt;=14),2,0)+IF(AND(Y115="",AD115&gt;=100000),2,0)+IF(AND(Y115&lt;&gt;"",V115=""),3,0)+IF(AND(Y115&lt;&gt;"",X115=""),2,0)+IF(AND(Y115&lt;&gt;"",Z115&gt;90),1,0))</f>
        <v/>
      </c>
      <c r="AK115" s="14">
        <f>IF(AJ115="","",IF(AJ115&gt;=10,"CRITICAL",IF(AJ115&gt;=6,"HIGH",IF(AJ115&gt;=3,"WATCH","LOW"))))</f>
        <v/>
      </c>
      <c r="AL115" s="20">
        <f>IF(AJ115="","",TRIM(IF(OR(C115="Major",C115="Systemic"),"major or systemic; ","")&amp;IF(AND(Y115="",S115&lt;&gt;"",TODAY()&gt;S115),"open past agreed date; ","")&amp;IF(AB115="Yes","authority or NOC linked; ","")&amp;IF(AG115="Yes","repeat of a previous NCR; ","")&amp;IF(AND(Y115="",AE115&gt;=14),"programme impact 14 days or more; ","")&amp;IF(AND(Y115="",AD115&gt;=100000),"cost impact AED 100,000 or more; ","")&amp;IF(AND(Y115&lt;&gt;"",V115=""),"closed with no verification date; ","")&amp;IF(AND(Y115&lt;&gt;"",X115=""),"closed without a closure certificate; ","")&amp;IF(AND(Y115&lt;&gt;"",Z115&gt;90),"closed more than 90 days after raising; ","")))</f>
        <v/>
      </c>
    </row>
    <row r="116">
      <c r="A116" s="10" t="n"/>
      <c r="B116" s="11" t="n"/>
      <c r="C116" s="12" t="n"/>
      <c r="D116" s="12" t="n"/>
      <c r="E116" s="12" t="n"/>
      <c r="F116" s="13" t="n"/>
      <c r="G116" s="13" t="n"/>
      <c r="H116" s="13" t="n"/>
      <c r="I116" s="13" t="n"/>
      <c r="J116" s="13" t="n"/>
      <c r="K116" s="13" t="n"/>
      <c r="L116" s="13" t="n"/>
      <c r="M116" s="11" t="n"/>
      <c r="N116" s="11" t="n"/>
      <c r="O116" s="12" t="n"/>
      <c r="P116" s="13" t="n"/>
      <c r="Q116" s="13" t="n"/>
      <c r="R116" s="13" t="n"/>
      <c r="S116" s="11" t="n"/>
      <c r="T116" s="11" t="n"/>
      <c r="U116" s="13" t="n"/>
      <c r="V116" s="11" t="n"/>
      <c r="W116" s="12" t="n"/>
      <c r="X116" s="12" t="n"/>
      <c r="Y116" s="11" t="n"/>
      <c r="Z116" s="14">
        <f>IF(A116="","",IF(Y116&lt;&gt;"",Y116-B116,TODAY()-B116))</f>
        <v/>
      </c>
      <c r="AA116" s="14">
        <f>IF(A116="","",IF(AND(Y116="",TODAY()&gt;S116),"OVERDUE",IF(AND(Y116&lt;&gt;"",Y116&gt;S116),"CLOSED LATE","")))</f>
        <v/>
      </c>
      <c r="AB116" s="12" t="n"/>
      <c r="AC116" s="13" t="n"/>
      <c r="AD116" s="21" t="n"/>
      <c r="AE116" s="12" t="n"/>
      <c r="AF116" s="14">
        <f>IF(A116="","",IF(Y116&lt;&gt;"","Closed",IF(TODAY()&gt;S116,"Overdue","Open")))</f>
        <v/>
      </c>
      <c r="AG116" s="12" t="n"/>
      <c r="AH116" s="13" t="n"/>
      <c r="AI116" s="12" t="n"/>
      <c r="AJ116" s="14">
        <f>IF(A116="","",IF(OR(C116="Major",C116="Systemic"),4,IF(C116="Minor",1,0))+IF(AND(Y116="",S116&lt;&gt;"",TODAY()&gt;S116),3,0)+IF(AB116="Yes",3,0)+IF(AG116="Yes",2,0)+IF(AND(Y116="",AE116&gt;=14),2,0)+IF(AND(Y116="",AD116&gt;=100000),2,0)+IF(AND(Y116&lt;&gt;"",V116=""),3,0)+IF(AND(Y116&lt;&gt;"",X116=""),2,0)+IF(AND(Y116&lt;&gt;"",Z116&gt;90),1,0))</f>
        <v/>
      </c>
      <c r="AK116" s="14">
        <f>IF(AJ116="","",IF(AJ116&gt;=10,"CRITICAL",IF(AJ116&gt;=6,"HIGH",IF(AJ116&gt;=3,"WATCH","LOW"))))</f>
        <v/>
      </c>
      <c r="AL116" s="20">
        <f>IF(AJ116="","",TRIM(IF(OR(C116="Major",C116="Systemic"),"major or systemic; ","")&amp;IF(AND(Y116="",S116&lt;&gt;"",TODAY()&gt;S116),"open past agreed date; ","")&amp;IF(AB116="Yes","authority or NOC linked; ","")&amp;IF(AG116="Yes","repeat of a previous NCR; ","")&amp;IF(AND(Y116="",AE116&gt;=14),"programme impact 14 days or more; ","")&amp;IF(AND(Y116="",AD116&gt;=100000),"cost impact AED 100,000 or more; ","")&amp;IF(AND(Y116&lt;&gt;"",V116=""),"closed with no verification date; ","")&amp;IF(AND(Y116&lt;&gt;"",X116=""),"closed without a closure certificate; ","")&amp;IF(AND(Y116&lt;&gt;"",Z116&gt;90),"closed more than 90 days after raising; ","")))</f>
        <v/>
      </c>
    </row>
    <row r="117">
      <c r="A117" s="10" t="n"/>
      <c r="B117" s="11" t="n"/>
      <c r="C117" s="12" t="n"/>
      <c r="D117" s="12" t="n"/>
      <c r="E117" s="12" t="n"/>
      <c r="F117" s="13" t="n"/>
      <c r="G117" s="13" t="n"/>
      <c r="H117" s="13" t="n"/>
      <c r="I117" s="13" t="n"/>
      <c r="J117" s="13" t="n"/>
      <c r="K117" s="13" t="n"/>
      <c r="L117" s="13" t="n"/>
      <c r="M117" s="11" t="n"/>
      <c r="N117" s="11" t="n"/>
      <c r="O117" s="12" t="n"/>
      <c r="P117" s="13" t="n"/>
      <c r="Q117" s="13" t="n"/>
      <c r="R117" s="13" t="n"/>
      <c r="S117" s="11" t="n"/>
      <c r="T117" s="11" t="n"/>
      <c r="U117" s="13" t="n"/>
      <c r="V117" s="11" t="n"/>
      <c r="W117" s="12" t="n"/>
      <c r="X117" s="12" t="n"/>
      <c r="Y117" s="11" t="n"/>
      <c r="Z117" s="14">
        <f>IF(A117="","",IF(Y117&lt;&gt;"",Y117-B117,TODAY()-B117))</f>
        <v/>
      </c>
      <c r="AA117" s="14">
        <f>IF(A117="","",IF(AND(Y117="",TODAY()&gt;S117),"OVERDUE",IF(AND(Y117&lt;&gt;"",Y117&gt;S117),"CLOSED LATE","")))</f>
        <v/>
      </c>
      <c r="AB117" s="12" t="n"/>
      <c r="AC117" s="13" t="n"/>
      <c r="AD117" s="21" t="n"/>
      <c r="AE117" s="12" t="n"/>
      <c r="AF117" s="14">
        <f>IF(A117="","",IF(Y117&lt;&gt;"","Closed",IF(TODAY()&gt;S117,"Overdue","Open")))</f>
        <v/>
      </c>
      <c r="AG117" s="12" t="n"/>
      <c r="AH117" s="13" t="n"/>
      <c r="AI117" s="12" t="n"/>
      <c r="AJ117" s="14">
        <f>IF(A117="","",IF(OR(C117="Major",C117="Systemic"),4,IF(C117="Minor",1,0))+IF(AND(Y117="",S117&lt;&gt;"",TODAY()&gt;S117),3,0)+IF(AB117="Yes",3,0)+IF(AG117="Yes",2,0)+IF(AND(Y117="",AE117&gt;=14),2,0)+IF(AND(Y117="",AD117&gt;=100000),2,0)+IF(AND(Y117&lt;&gt;"",V117=""),3,0)+IF(AND(Y117&lt;&gt;"",X117=""),2,0)+IF(AND(Y117&lt;&gt;"",Z117&gt;90),1,0))</f>
        <v/>
      </c>
      <c r="AK117" s="14">
        <f>IF(AJ117="","",IF(AJ117&gt;=10,"CRITICAL",IF(AJ117&gt;=6,"HIGH",IF(AJ117&gt;=3,"WATCH","LOW"))))</f>
        <v/>
      </c>
      <c r="AL117" s="20">
        <f>IF(AJ117="","",TRIM(IF(OR(C117="Major",C117="Systemic"),"major or systemic; ","")&amp;IF(AND(Y117="",S117&lt;&gt;"",TODAY()&gt;S117),"open past agreed date; ","")&amp;IF(AB117="Yes","authority or NOC linked; ","")&amp;IF(AG117="Yes","repeat of a previous NCR; ","")&amp;IF(AND(Y117="",AE117&gt;=14),"programme impact 14 days or more; ","")&amp;IF(AND(Y117="",AD117&gt;=100000),"cost impact AED 100,000 or more; ","")&amp;IF(AND(Y117&lt;&gt;"",V117=""),"closed with no verification date; ","")&amp;IF(AND(Y117&lt;&gt;"",X117=""),"closed without a closure certificate; ","")&amp;IF(AND(Y117&lt;&gt;"",Z117&gt;90),"closed more than 90 days after raising; ","")))</f>
        <v/>
      </c>
    </row>
    <row r="118">
      <c r="A118" s="10" t="n"/>
      <c r="B118" s="11" t="n"/>
      <c r="C118" s="12" t="n"/>
      <c r="D118" s="12" t="n"/>
      <c r="E118" s="12" t="n"/>
      <c r="F118" s="13" t="n"/>
      <c r="G118" s="13" t="n"/>
      <c r="H118" s="13" t="n"/>
      <c r="I118" s="13" t="n"/>
      <c r="J118" s="13" t="n"/>
      <c r="K118" s="13" t="n"/>
      <c r="L118" s="13" t="n"/>
      <c r="M118" s="11" t="n"/>
      <c r="N118" s="11" t="n"/>
      <c r="O118" s="12" t="n"/>
      <c r="P118" s="13" t="n"/>
      <c r="Q118" s="13" t="n"/>
      <c r="R118" s="13" t="n"/>
      <c r="S118" s="11" t="n"/>
      <c r="T118" s="11" t="n"/>
      <c r="U118" s="13" t="n"/>
      <c r="V118" s="11" t="n"/>
      <c r="W118" s="12" t="n"/>
      <c r="X118" s="12" t="n"/>
      <c r="Y118" s="11" t="n"/>
      <c r="Z118" s="14">
        <f>IF(A118="","",IF(Y118&lt;&gt;"",Y118-B118,TODAY()-B118))</f>
        <v/>
      </c>
      <c r="AA118" s="14">
        <f>IF(A118="","",IF(AND(Y118="",TODAY()&gt;S118),"OVERDUE",IF(AND(Y118&lt;&gt;"",Y118&gt;S118),"CLOSED LATE","")))</f>
        <v/>
      </c>
      <c r="AB118" s="12" t="n"/>
      <c r="AC118" s="13" t="n"/>
      <c r="AD118" s="21" t="n"/>
      <c r="AE118" s="12" t="n"/>
      <c r="AF118" s="14">
        <f>IF(A118="","",IF(Y118&lt;&gt;"","Closed",IF(TODAY()&gt;S118,"Overdue","Open")))</f>
        <v/>
      </c>
      <c r="AG118" s="12" t="n"/>
      <c r="AH118" s="13" t="n"/>
      <c r="AI118" s="12" t="n"/>
      <c r="AJ118" s="14">
        <f>IF(A118="","",IF(OR(C118="Major",C118="Systemic"),4,IF(C118="Minor",1,0))+IF(AND(Y118="",S118&lt;&gt;"",TODAY()&gt;S118),3,0)+IF(AB118="Yes",3,0)+IF(AG118="Yes",2,0)+IF(AND(Y118="",AE118&gt;=14),2,0)+IF(AND(Y118="",AD118&gt;=100000),2,0)+IF(AND(Y118&lt;&gt;"",V118=""),3,0)+IF(AND(Y118&lt;&gt;"",X118=""),2,0)+IF(AND(Y118&lt;&gt;"",Z118&gt;90),1,0))</f>
        <v/>
      </c>
      <c r="AK118" s="14">
        <f>IF(AJ118="","",IF(AJ118&gt;=10,"CRITICAL",IF(AJ118&gt;=6,"HIGH",IF(AJ118&gt;=3,"WATCH","LOW"))))</f>
        <v/>
      </c>
      <c r="AL118" s="20">
        <f>IF(AJ118="","",TRIM(IF(OR(C118="Major",C118="Systemic"),"major or systemic; ","")&amp;IF(AND(Y118="",S118&lt;&gt;"",TODAY()&gt;S118),"open past agreed date; ","")&amp;IF(AB118="Yes","authority or NOC linked; ","")&amp;IF(AG118="Yes","repeat of a previous NCR; ","")&amp;IF(AND(Y118="",AE118&gt;=14),"programme impact 14 days or more; ","")&amp;IF(AND(Y118="",AD118&gt;=100000),"cost impact AED 100,000 or more; ","")&amp;IF(AND(Y118&lt;&gt;"",V118=""),"closed with no verification date; ","")&amp;IF(AND(Y118&lt;&gt;"",X118=""),"closed without a closure certificate; ","")&amp;IF(AND(Y118&lt;&gt;"",Z118&gt;90),"closed more than 90 days after raising; ","")))</f>
        <v/>
      </c>
    </row>
    <row r="119">
      <c r="A119" s="10" t="n"/>
      <c r="B119" s="11" t="n"/>
      <c r="C119" s="12" t="n"/>
      <c r="D119" s="12" t="n"/>
      <c r="E119" s="12" t="n"/>
      <c r="F119" s="13" t="n"/>
      <c r="G119" s="13" t="n"/>
      <c r="H119" s="13" t="n"/>
      <c r="I119" s="13" t="n"/>
      <c r="J119" s="13" t="n"/>
      <c r="K119" s="13" t="n"/>
      <c r="L119" s="13" t="n"/>
      <c r="M119" s="11" t="n"/>
      <c r="N119" s="11" t="n"/>
      <c r="O119" s="12" t="n"/>
      <c r="P119" s="13" t="n"/>
      <c r="Q119" s="13" t="n"/>
      <c r="R119" s="13" t="n"/>
      <c r="S119" s="11" t="n"/>
      <c r="T119" s="11" t="n"/>
      <c r="U119" s="13" t="n"/>
      <c r="V119" s="11" t="n"/>
      <c r="W119" s="12" t="n"/>
      <c r="X119" s="12" t="n"/>
      <c r="Y119" s="11" t="n"/>
      <c r="Z119" s="14">
        <f>IF(A119="","",IF(Y119&lt;&gt;"",Y119-B119,TODAY()-B119))</f>
        <v/>
      </c>
      <c r="AA119" s="14">
        <f>IF(A119="","",IF(AND(Y119="",TODAY()&gt;S119),"OVERDUE",IF(AND(Y119&lt;&gt;"",Y119&gt;S119),"CLOSED LATE","")))</f>
        <v/>
      </c>
      <c r="AB119" s="12" t="n"/>
      <c r="AC119" s="13" t="n"/>
      <c r="AD119" s="21" t="n"/>
      <c r="AE119" s="12" t="n"/>
      <c r="AF119" s="14">
        <f>IF(A119="","",IF(Y119&lt;&gt;"","Closed",IF(TODAY()&gt;S119,"Overdue","Open")))</f>
        <v/>
      </c>
      <c r="AG119" s="12" t="n"/>
      <c r="AH119" s="13" t="n"/>
      <c r="AI119" s="12" t="n"/>
      <c r="AJ119" s="14">
        <f>IF(A119="","",IF(OR(C119="Major",C119="Systemic"),4,IF(C119="Minor",1,0))+IF(AND(Y119="",S119&lt;&gt;"",TODAY()&gt;S119),3,0)+IF(AB119="Yes",3,0)+IF(AG119="Yes",2,0)+IF(AND(Y119="",AE119&gt;=14),2,0)+IF(AND(Y119="",AD119&gt;=100000),2,0)+IF(AND(Y119&lt;&gt;"",V119=""),3,0)+IF(AND(Y119&lt;&gt;"",X119=""),2,0)+IF(AND(Y119&lt;&gt;"",Z119&gt;90),1,0))</f>
        <v/>
      </c>
      <c r="AK119" s="14">
        <f>IF(AJ119="","",IF(AJ119&gt;=10,"CRITICAL",IF(AJ119&gt;=6,"HIGH",IF(AJ119&gt;=3,"WATCH","LOW"))))</f>
        <v/>
      </c>
      <c r="AL119" s="20">
        <f>IF(AJ119="","",TRIM(IF(OR(C119="Major",C119="Systemic"),"major or systemic; ","")&amp;IF(AND(Y119="",S119&lt;&gt;"",TODAY()&gt;S119),"open past agreed date; ","")&amp;IF(AB119="Yes","authority or NOC linked; ","")&amp;IF(AG119="Yes","repeat of a previous NCR; ","")&amp;IF(AND(Y119="",AE119&gt;=14),"programme impact 14 days or more; ","")&amp;IF(AND(Y119="",AD119&gt;=100000),"cost impact AED 100,000 or more; ","")&amp;IF(AND(Y119&lt;&gt;"",V119=""),"closed with no verification date; ","")&amp;IF(AND(Y119&lt;&gt;"",X119=""),"closed without a closure certificate; ","")&amp;IF(AND(Y119&lt;&gt;"",Z119&gt;90),"closed more than 90 days after raising; ","")))</f>
        <v/>
      </c>
    </row>
    <row r="120">
      <c r="A120" s="10" t="n"/>
      <c r="B120" s="11" t="n"/>
      <c r="C120" s="12" t="n"/>
      <c r="D120" s="12" t="n"/>
      <c r="E120" s="12" t="n"/>
      <c r="F120" s="13" t="n"/>
      <c r="G120" s="13" t="n"/>
      <c r="H120" s="13" t="n"/>
      <c r="I120" s="13" t="n"/>
      <c r="J120" s="13" t="n"/>
      <c r="K120" s="13" t="n"/>
      <c r="L120" s="13" t="n"/>
      <c r="M120" s="11" t="n"/>
      <c r="N120" s="11" t="n"/>
      <c r="O120" s="12" t="n"/>
      <c r="P120" s="13" t="n"/>
      <c r="Q120" s="13" t="n"/>
      <c r="R120" s="13" t="n"/>
      <c r="S120" s="11" t="n"/>
      <c r="T120" s="11" t="n"/>
      <c r="U120" s="13" t="n"/>
      <c r="V120" s="11" t="n"/>
      <c r="W120" s="12" t="n"/>
      <c r="X120" s="12" t="n"/>
      <c r="Y120" s="11" t="n"/>
      <c r="Z120" s="14">
        <f>IF(A120="","",IF(Y120&lt;&gt;"",Y120-B120,TODAY()-B120))</f>
        <v/>
      </c>
      <c r="AA120" s="14">
        <f>IF(A120="","",IF(AND(Y120="",TODAY()&gt;S120),"OVERDUE",IF(AND(Y120&lt;&gt;"",Y120&gt;S120),"CLOSED LATE","")))</f>
        <v/>
      </c>
      <c r="AB120" s="12" t="n"/>
      <c r="AC120" s="13" t="n"/>
      <c r="AD120" s="21" t="n"/>
      <c r="AE120" s="12" t="n"/>
      <c r="AF120" s="14">
        <f>IF(A120="","",IF(Y120&lt;&gt;"","Closed",IF(TODAY()&gt;S120,"Overdue","Open")))</f>
        <v/>
      </c>
      <c r="AG120" s="12" t="n"/>
      <c r="AH120" s="13" t="n"/>
      <c r="AI120" s="12" t="n"/>
      <c r="AJ120" s="14">
        <f>IF(A120="","",IF(OR(C120="Major",C120="Systemic"),4,IF(C120="Minor",1,0))+IF(AND(Y120="",S120&lt;&gt;"",TODAY()&gt;S120),3,0)+IF(AB120="Yes",3,0)+IF(AG120="Yes",2,0)+IF(AND(Y120="",AE120&gt;=14),2,0)+IF(AND(Y120="",AD120&gt;=100000),2,0)+IF(AND(Y120&lt;&gt;"",V120=""),3,0)+IF(AND(Y120&lt;&gt;"",X120=""),2,0)+IF(AND(Y120&lt;&gt;"",Z120&gt;90),1,0))</f>
        <v/>
      </c>
      <c r="AK120" s="14">
        <f>IF(AJ120="","",IF(AJ120&gt;=10,"CRITICAL",IF(AJ120&gt;=6,"HIGH",IF(AJ120&gt;=3,"WATCH","LOW"))))</f>
        <v/>
      </c>
      <c r="AL120" s="20">
        <f>IF(AJ120="","",TRIM(IF(OR(C120="Major",C120="Systemic"),"major or systemic; ","")&amp;IF(AND(Y120="",S120&lt;&gt;"",TODAY()&gt;S120),"open past agreed date; ","")&amp;IF(AB120="Yes","authority or NOC linked; ","")&amp;IF(AG120="Yes","repeat of a previous NCR; ","")&amp;IF(AND(Y120="",AE120&gt;=14),"programme impact 14 days or more; ","")&amp;IF(AND(Y120="",AD120&gt;=100000),"cost impact AED 100,000 or more; ","")&amp;IF(AND(Y120&lt;&gt;"",V120=""),"closed with no verification date; ","")&amp;IF(AND(Y120&lt;&gt;"",X120=""),"closed without a closure certificate; ","")&amp;IF(AND(Y120&lt;&gt;"",Z120&gt;90),"closed more than 90 days after raising; ","")))</f>
        <v/>
      </c>
    </row>
    <row r="121">
      <c r="A121" s="10" t="n"/>
      <c r="B121" s="11" t="n"/>
      <c r="C121" s="12" t="n"/>
      <c r="D121" s="12" t="n"/>
      <c r="E121" s="12" t="n"/>
      <c r="F121" s="13" t="n"/>
      <c r="G121" s="13" t="n"/>
      <c r="H121" s="13" t="n"/>
      <c r="I121" s="13" t="n"/>
      <c r="J121" s="13" t="n"/>
      <c r="K121" s="13" t="n"/>
      <c r="L121" s="13" t="n"/>
      <c r="M121" s="11" t="n"/>
      <c r="N121" s="11" t="n"/>
      <c r="O121" s="12" t="n"/>
      <c r="P121" s="13" t="n"/>
      <c r="Q121" s="13" t="n"/>
      <c r="R121" s="13" t="n"/>
      <c r="S121" s="11" t="n"/>
      <c r="T121" s="11" t="n"/>
      <c r="U121" s="13" t="n"/>
      <c r="V121" s="11" t="n"/>
      <c r="W121" s="12" t="n"/>
      <c r="X121" s="12" t="n"/>
      <c r="Y121" s="11" t="n"/>
      <c r="Z121" s="14">
        <f>IF(A121="","",IF(Y121&lt;&gt;"",Y121-B121,TODAY()-B121))</f>
        <v/>
      </c>
      <c r="AA121" s="14">
        <f>IF(A121="","",IF(AND(Y121="",TODAY()&gt;S121),"OVERDUE",IF(AND(Y121&lt;&gt;"",Y121&gt;S121),"CLOSED LATE","")))</f>
        <v/>
      </c>
      <c r="AB121" s="12" t="n"/>
      <c r="AC121" s="13" t="n"/>
      <c r="AD121" s="21" t="n"/>
      <c r="AE121" s="12" t="n"/>
      <c r="AF121" s="14">
        <f>IF(A121="","",IF(Y121&lt;&gt;"","Closed",IF(TODAY()&gt;S121,"Overdue","Open")))</f>
        <v/>
      </c>
      <c r="AG121" s="12" t="n"/>
      <c r="AH121" s="13" t="n"/>
      <c r="AI121" s="12" t="n"/>
      <c r="AJ121" s="14">
        <f>IF(A121="","",IF(OR(C121="Major",C121="Systemic"),4,IF(C121="Minor",1,0))+IF(AND(Y121="",S121&lt;&gt;"",TODAY()&gt;S121),3,0)+IF(AB121="Yes",3,0)+IF(AG121="Yes",2,0)+IF(AND(Y121="",AE121&gt;=14),2,0)+IF(AND(Y121="",AD121&gt;=100000),2,0)+IF(AND(Y121&lt;&gt;"",V121=""),3,0)+IF(AND(Y121&lt;&gt;"",X121=""),2,0)+IF(AND(Y121&lt;&gt;"",Z121&gt;90),1,0))</f>
        <v/>
      </c>
      <c r="AK121" s="14">
        <f>IF(AJ121="","",IF(AJ121&gt;=10,"CRITICAL",IF(AJ121&gt;=6,"HIGH",IF(AJ121&gt;=3,"WATCH","LOW"))))</f>
        <v/>
      </c>
      <c r="AL121" s="20">
        <f>IF(AJ121="","",TRIM(IF(OR(C121="Major",C121="Systemic"),"major or systemic; ","")&amp;IF(AND(Y121="",S121&lt;&gt;"",TODAY()&gt;S121),"open past agreed date; ","")&amp;IF(AB121="Yes","authority or NOC linked; ","")&amp;IF(AG121="Yes","repeat of a previous NCR; ","")&amp;IF(AND(Y121="",AE121&gt;=14),"programme impact 14 days or more; ","")&amp;IF(AND(Y121="",AD121&gt;=100000),"cost impact AED 100,000 or more; ","")&amp;IF(AND(Y121&lt;&gt;"",V121=""),"closed with no verification date; ","")&amp;IF(AND(Y121&lt;&gt;"",X121=""),"closed without a closure certificate; ","")&amp;IF(AND(Y121&lt;&gt;"",Z121&gt;90),"closed more than 90 days after raising; ","")))</f>
        <v/>
      </c>
    </row>
    <row r="122">
      <c r="A122" s="10" t="n"/>
      <c r="B122" s="11" t="n"/>
      <c r="C122" s="12" t="n"/>
      <c r="D122" s="12" t="n"/>
      <c r="E122" s="12" t="n"/>
      <c r="F122" s="13" t="n"/>
      <c r="G122" s="13" t="n"/>
      <c r="H122" s="13" t="n"/>
      <c r="I122" s="13" t="n"/>
      <c r="J122" s="13" t="n"/>
      <c r="K122" s="13" t="n"/>
      <c r="L122" s="13" t="n"/>
      <c r="M122" s="11" t="n"/>
      <c r="N122" s="11" t="n"/>
      <c r="O122" s="12" t="n"/>
      <c r="P122" s="13" t="n"/>
      <c r="Q122" s="13" t="n"/>
      <c r="R122" s="13" t="n"/>
      <c r="S122" s="11" t="n"/>
      <c r="T122" s="11" t="n"/>
      <c r="U122" s="13" t="n"/>
      <c r="V122" s="11" t="n"/>
      <c r="W122" s="12" t="n"/>
      <c r="X122" s="12" t="n"/>
      <c r="Y122" s="11" t="n"/>
      <c r="Z122" s="14">
        <f>IF(A122="","",IF(Y122&lt;&gt;"",Y122-B122,TODAY()-B122))</f>
        <v/>
      </c>
      <c r="AA122" s="14">
        <f>IF(A122="","",IF(AND(Y122="",TODAY()&gt;S122),"OVERDUE",IF(AND(Y122&lt;&gt;"",Y122&gt;S122),"CLOSED LATE","")))</f>
        <v/>
      </c>
      <c r="AB122" s="12" t="n"/>
      <c r="AC122" s="13" t="n"/>
      <c r="AD122" s="21" t="n"/>
      <c r="AE122" s="12" t="n"/>
      <c r="AF122" s="14">
        <f>IF(A122="","",IF(Y122&lt;&gt;"","Closed",IF(TODAY()&gt;S122,"Overdue","Open")))</f>
        <v/>
      </c>
      <c r="AG122" s="12" t="n"/>
      <c r="AH122" s="13" t="n"/>
      <c r="AI122" s="12" t="n"/>
      <c r="AJ122" s="14">
        <f>IF(A122="","",IF(OR(C122="Major",C122="Systemic"),4,IF(C122="Minor",1,0))+IF(AND(Y122="",S122&lt;&gt;"",TODAY()&gt;S122),3,0)+IF(AB122="Yes",3,0)+IF(AG122="Yes",2,0)+IF(AND(Y122="",AE122&gt;=14),2,0)+IF(AND(Y122="",AD122&gt;=100000),2,0)+IF(AND(Y122&lt;&gt;"",V122=""),3,0)+IF(AND(Y122&lt;&gt;"",X122=""),2,0)+IF(AND(Y122&lt;&gt;"",Z122&gt;90),1,0))</f>
        <v/>
      </c>
      <c r="AK122" s="14">
        <f>IF(AJ122="","",IF(AJ122&gt;=10,"CRITICAL",IF(AJ122&gt;=6,"HIGH",IF(AJ122&gt;=3,"WATCH","LOW"))))</f>
        <v/>
      </c>
      <c r="AL122" s="20">
        <f>IF(AJ122="","",TRIM(IF(OR(C122="Major",C122="Systemic"),"major or systemic; ","")&amp;IF(AND(Y122="",S122&lt;&gt;"",TODAY()&gt;S122),"open past agreed date; ","")&amp;IF(AB122="Yes","authority or NOC linked; ","")&amp;IF(AG122="Yes","repeat of a previous NCR; ","")&amp;IF(AND(Y122="",AE122&gt;=14),"programme impact 14 days or more; ","")&amp;IF(AND(Y122="",AD122&gt;=100000),"cost impact AED 100,000 or more; ","")&amp;IF(AND(Y122&lt;&gt;"",V122=""),"closed with no verification date; ","")&amp;IF(AND(Y122&lt;&gt;"",X122=""),"closed without a closure certificate; ","")&amp;IF(AND(Y122&lt;&gt;"",Z122&gt;90),"closed more than 90 days after raising; ","")))</f>
        <v/>
      </c>
    </row>
    <row r="123">
      <c r="A123" s="10" t="n"/>
      <c r="B123" s="11" t="n"/>
      <c r="C123" s="12" t="n"/>
      <c r="D123" s="12" t="n"/>
      <c r="E123" s="12" t="n"/>
      <c r="F123" s="13" t="n"/>
      <c r="G123" s="13" t="n"/>
      <c r="H123" s="13" t="n"/>
      <c r="I123" s="13" t="n"/>
      <c r="J123" s="13" t="n"/>
      <c r="K123" s="13" t="n"/>
      <c r="L123" s="13" t="n"/>
      <c r="M123" s="11" t="n"/>
      <c r="N123" s="11" t="n"/>
      <c r="O123" s="12" t="n"/>
      <c r="P123" s="13" t="n"/>
      <c r="Q123" s="13" t="n"/>
      <c r="R123" s="13" t="n"/>
      <c r="S123" s="11" t="n"/>
      <c r="T123" s="11" t="n"/>
      <c r="U123" s="13" t="n"/>
      <c r="V123" s="11" t="n"/>
      <c r="W123" s="12" t="n"/>
      <c r="X123" s="12" t="n"/>
      <c r="Y123" s="11" t="n"/>
      <c r="Z123" s="14">
        <f>IF(A123="","",IF(Y123&lt;&gt;"",Y123-B123,TODAY()-B123))</f>
        <v/>
      </c>
      <c r="AA123" s="14">
        <f>IF(A123="","",IF(AND(Y123="",TODAY()&gt;S123),"OVERDUE",IF(AND(Y123&lt;&gt;"",Y123&gt;S123),"CLOSED LATE","")))</f>
        <v/>
      </c>
      <c r="AB123" s="12" t="n"/>
      <c r="AC123" s="13" t="n"/>
      <c r="AD123" s="21" t="n"/>
      <c r="AE123" s="12" t="n"/>
      <c r="AF123" s="14">
        <f>IF(A123="","",IF(Y123&lt;&gt;"","Closed",IF(TODAY()&gt;S123,"Overdue","Open")))</f>
        <v/>
      </c>
      <c r="AG123" s="12" t="n"/>
      <c r="AH123" s="13" t="n"/>
      <c r="AI123" s="12" t="n"/>
      <c r="AJ123" s="14">
        <f>IF(A123="","",IF(OR(C123="Major",C123="Systemic"),4,IF(C123="Minor",1,0))+IF(AND(Y123="",S123&lt;&gt;"",TODAY()&gt;S123),3,0)+IF(AB123="Yes",3,0)+IF(AG123="Yes",2,0)+IF(AND(Y123="",AE123&gt;=14),2,0)+IF(AND(Y123="",AD123&gt;=100000),2,0)+IF(AND(Y123&lt;&gt;"",V123=""),3,0)+IF(AND(Y123&lt;&gt;"",X123=""),2,0)+IF(AND(Y123&lt;&gt;"",Z123&gt;90),1,0))</f>
        <v/>
      </c>
      <c r="AK123" s="14">
        <f>IF(AJ123="","",IF(AJ123&gt;=10,"CRITICAL",IF(AJ123&gt;=6,"HIGH",IF(AJ123&gt;=3,"WATCH","LOW"))))</f>
        <v/>
      </c>
      <c r="AL123" s="20">
        <f>IF(AJ123="","",TRIM(IF(OR(C123="Major",C123="Systemic"),"major or systemic; ","")&amp;IF(AND(Y123="",S123&lt;&gt;"",TODAY()&gt;S123),"open past agreed date; ","")&amp;IF(AB123="Yes","authority or NOC linked; ","")&amp;IF(AG123="Yes","repeat of a previous NCR; ","")&amp;IF(AND(Y123="",AE123&gt;=14),"programme impact 14 days or more; ","")&amp;IF(AND(Y123="",AD123&gt;=100000),"cost impact AED 100,000 or more; ","")&amp;IF(AND(Y123&lt;&gt;"",V123=""),"closed with no verification date; ","")&amp;IF(AND(Y123&lt;&gt;"",X123=""),"closed without a closure certificate; ","")&amp;IF(AND(Y123&lt;&gt;"",Z123&gt;90),"closed more than 90 days after raising; ","")))</f>
        <v/>
      </c>
    </row>
    <row r="124">
      <c r="A124" s="10" t="n"/>
      <c r="B124" s="11" t="n"/>
      <c r="C124" s="12" t="n"/>
      <c r="D124" s="12" t="n"/>
      <c r="E124" s="12" t="n"/>
      <c r="F124" s="13" t="n"/>
      <c r="G124" s="13" t="n"/>
      <c r="H124" s="13" t="n"/>
      <c r="I124" s="13" t="n"/>
      <c r="J124" s="13" t="n"/>
      <c r="K124" s="13" t="n"/>
      <c r="L124" s="13" t="n"/>
      <c r="M124" s="11" t="n"/>
      <c r="N124" s="11" t="n"/>
      <c r="O124" s="12" t="n"/>
      <c r="P124" s="13" t="n"/>
      <c r="Q124" s="13" t="n"/>
      <c r="R124" s="13" t="n"/>
      <c r="S124" s="11" t="n"/>
      <c r="T124" s="11" t="n"/>
      <c r="U124" s="13" t="n"/>
      <c r="V124" s="11" t="n"/>
      <c r="W124" s="12" t="n"/>
      <c r="X124" s="12" t="n"/>
      <c r="Y124" s="11" t="n"/>
      <c r="Z124" s="14">
        <f>IF(A124="","",IF(Y124&lt;&gt;"",Y124-B124,TODAY()-B124))</f>
        <v/>
      </c>
      <c r="AA124" s="14">
        <f>IF(A124="","",IF(AND(Y124="",TODAY()&gt;S124),"OVERDUE",IF(AND(Y124&lt;&gt;"",Y124&gt;S124),"CLOSED LATE","")))</f>
        <v/>
      </c>
      <c r="AB124" s="12" t="n"/>
      <c r="AC124" s="13" t="n"/>
      <c r="AD124" s="21" t="n"/>
      <c r="AE124" s="12" t="n"/>
      <c r="AF124" s="14">
        <f>IF(A124="","",IF(Y124&lt;&gt;"","Closed",IF(TODAY()&gt;S124,"Overdue","Open")))</f>
        <v/>
      </c>
      <c r="AG124" s="12" t="n"/>
      <c r="AH124" s="13" t="n"/>
      <c r="AI124" s="12" t="n"/>
      <c r="AJ124" s="14">
        <f>IF(A124="","",IF(OR(C124="Major",C124="Systemic"),4,IF(C124="Minor",1,0))+IF(AND(Y124="",S124&lt;&gt;"",TODAY()&gt;S124),3,0)+IF(AB124="Yes",3,0)+IF(AG124="Yes",2,0)+IF(AND(Y124="",AE124&gt;=14),2,0)+IF(AND(Y124="",AD124&gt;=100000),2,0)+IF(AND(Y124&lt;&gt;"",V124=""),3,0)+IF(AND(Y124&lt;&gt;"",X124=""),2,0)+IF(AND(Y124&lt;&gt;"",Z124&gt;90),1,0))</f>
        <v/>
      </c>
      <c r="AK124" s="14">
        <f>IF(AJ124="","",IF(AJ124&gt;=10,"CRITICAL",IF(AJ124&gt;=6,"HIGH",IF(AJ124&gt;=3,"WATCH","LOW"))))</f>
        <v/>
      </c>
      <c r="AL124" s="20">
        <f>IF(AJ124="","",TRIM(IF(OR(C124="Major",C124="Systemic"),"major or systemic; ","")&amp;IF(AND(Y124="",S124&lt;&gt;"",TODAY()&gt;S124),"open past agreed date; ","")&amp;IF(AB124="Yes","authority or NOC linked; ","")&amp;IF(AG124="Yes","repeat of a previous NCR; ","")&amp;IF(AND(Y124="",AE124&gt;=14),"programme impact 14 days or more; ","")&amp;IF(AND(Y124="",AD124&gt;=100000),"cost impact AED 100,000 or more; ","")&amp;IF(AND(Y124&lt;&gt;"",V124=""),"closed with no verification date; ","")&amp;IF(AND(Y124&lt;&gt;"",X124=""),"closed without a closure certificate; ","")&amp;IF(AND(Y124&lt;&gt;"",Z124&gt;90),"closed more than 90 days after raising; ","")))</f>
        <v/>
      </c>
    </row>
    <row r="125">
      <c r="A125" s="10" t="n"/>
      <c r="B125" s="11" t="n"/>
      <c r="C125" s="12" t="n"/>
      <c r="D125" s="12" t="n"/>
      <c r="E125" s="12" t="n"/>
      <c r="F125" s="13" t="n"/>
      <c r="G125" s="13" t="n"/>
      <c r="H125" s="13" t="n"/>
      <c r="I125" s="13" t="n"/>
      <c r="J125" s="13" t="n"/>
      <c r="K125" s="13" t="n"/>
      <c r="L125" s="13" t="n"/>
      <c r="M125" s="11" t="n"/>
      <c r="N125" s="11" t="n"/>
      <c r="O125" s="12" t="n"/>
      <c r="P125" s="13" t="n"/>
      <c r="Q125" s="13" t="n"/>
      <c r="R125" s="13" t="n"/>
      <c r="S125" s="11" t="n"/>
      <c r="T125" s="11" t="n"/>
      <c r="U125" s="13" t="n"/>
      <c r="V125" s="11" t="n"/>
      <c r="W125" s="12" t="n"/>
      <c r="X125" s="12" t="n"/>
      <c r="Y125" s="11" t="n"/>
      <c r="Z125" s="14">
        <f>IF(A125="","",IF(Y125&lt;&gt;"",Y125-B125,TODAY()-B125))</f>
        <v/>
      </c>
      <c r="AA125" s="14">
        <f>IF(A125="","",IF(AND(Y125="",TODAY()&gt;S125),"OVERDUE",IF(AND(Y125&lt;&gt;"",Y125&gt;S125),"CLOSED LATE","")))</f>
        <v/>
      </c>
      <c r="AB125" s="12" t="n"/>
      <c r="AC125" s="13" t="n"/>
      <c r="AD125" s="21" t="n"/>
      <c r="AE125" s="12" t="n"/>
      <c r="AF125" s="14">
        <f>IF(A125="","",IF(Y125&lt;&gt;"","Closed",IF(TODAY()&gt;S125,"Overdue","Open")))</f>
        <v/>
      </c>
      <c r="AG125" s="12" t="n"/>
      <c r="AH125" s="13" t="n"/>
      <c r="AI125" s="12" t="n"/>
      <c r="AJ125" s="14">
        <f>IF(A125="","",IF(OR(C125="Major",C125="Systemic"),4,IF(C125="Minor",1,0))+IF(AND(Y125="",S125&lt;&gt;"",TODAY()&gt;S125),3,0)+IF(AB125="Yes",3,0)+IF(AG125="Yes",2,0)+IF(AND(Y125="",AE125&gt;=14),2,0)+IF(AND(Y125="",AD125&gt;=100000),2,0)+IF(AND(Y125&lt;&gt;"",V125=""),3,0)+IF(AND(Y125&lt;&gt;"",X125=""),2,0)+IF(AND(Y125&lt;&gt;"",Z125&gt;90),1,0))</f>
        <v/>
      </c>
      <c r="AK125" s="14">
        <f>IF(AJ125="","",IF(AJ125&gt;=10,"CRITICAL",IF(AJ125&gt;=6,"HIGH",IF(AJ125&gt;=3,"WATCH","LOW"))))</f>
        <v/>
      </c>
      <c r="AL125" s="20">
        <f>IF(AJ125="","",TRIM(IF(OR(C125="Major",C125="Systemic"),"major or systemic; ","")&amp;IF(AND(Y125="",S125&lt;&gt;"",TODAY()&gt;S125),"open past agreed date; ","")&amp;IF(AB125="Yes","authority or NOC linked; ","")&amp;IF(AG125="Yes","repeat of a previous NCR; ","")&amp;IF(AND(Y125="",AE125&gt;=14),"programme impact 14 days or more; ","")&amp;IF(AND(Y125="",AD125&gt;=100000),"cost impact AED 100,000 or more; ","")&amp;IF(AND(Y125&lt;&gt;"",V125=""),"closed with no verification date; ","")&amp;IF(AND(Y125&lt;&gt;"",X125=""),"closed without a closure certificate; ","")&amp;IF(AND(Y125&lt;&gt;"",Z125&gt;90),"closed more than 90 days after raising; ","")))</f>
        <v/>
      </c>
    </row>
    <row r="126">
      <c r="A126" s="10" t="n"/>
      <c r="B126" s="11" t="n"/>
      <c r="C126" s="12" t="n"/>
      <c r="D126" s="12" t="n"/>
      <c r="E126" s="12" t="n"/>
      <c r="F126" s="13" t="n"/>
      <c r="G126" s="13" t="n"/>
      <c r="H126" s="13" t="n"/>
      <c r="I126" s="13" t="n"/>
      <c r="J126" s="13" t="n"/>
      <c r="K126" s="13" t="n"/>
      <c r="L126" s="13" t="n"/>
      <c r="M126" s="11" t="n"/>
      <c r="N126" s="11" t="n"/>
      <c r="O126" s="12" t="n"/>
      <c r="P126" s="13" t="n"/>
      <c r="Q126" s="13" t="n"/>
      <c r="R126" s="13" t="n"/>
      <c r="S126" s="11" t="n"/>
      <c r="T126" s="11" t="n"/>
      <c r="U126" s="13" t="n"/>
      <c r="V126" s="11" t="n"/>
      <c r="W126" s="12" t="n"/>
      <c r="X126" s="12" t="n"/>
      <c r="Y126" s="11" t="n"/>
      <c r="Z126" s="14">
        <f>IF(A126="","",IF(Y126&lt;&gt;"",Y126-B126,TODAY()-B126))</f>
        <v/>
      </c>
      <c r="AA126" s="14">
        <f>IF(A126="","",IF(AND(Y126="",TODAY()&gt;S126),"OVERDUE",IF(AND(Y126&lt;&gt;"",Y126&gt;S126),"CLOSED LATE","")))</f>
        <v/>
      </c>
      <c r="AB126" s="12" t="n"/>
      <c r="AC126" s="13" t="n"/>
      <c r="AD126" s="21" t="n"/>
      <c r="AE126" s="12" t="n"/>
      <c r="AF126" s="14">
        <f>IF(A126="","",IF(Y126&lt;&gt;"","Closed",IF(TODAY()&gt;S126,"Overdue","Open")))</f>
        <v/>
      </c>
      <c r="AG126" s="12" t="n"/>
      <c r="AH126" s="13" t="n"/>
      <c r="AI126" s="12" t="n"/>
      <c r="AJ126" s="14">
        <f>IF(A126="","",IF(OR(C126="Major",C126="Systemic"),4,IF(C126="Minor",1,0))+IF(AND(Y126="",S126&lt;&gt;"",TODAY()&gt;S126),3,0)+IF(AB126="Yes",3,0)+IF(AG126="Yes",2,0)+IF(AND(Y126="",AE126&gt;=14),2,0)+IF(AND(Y126="",AD126&gt;=100000),2,0)+IF(AND(Y126&lt;&gt;"",V126=""),3,0)+IF(AND(Y126&lt;&gt;"",X126=""),2,0)+IF(AND(Y126&lt;&gt;"",Z126&gt;90),1,0))</f>
        <v/>
      </c>
      <c r="AK126" s="14">
        <f>IF(AJ126="","",IF(AJ126&gt;=10,"CRITICAL",IF(AJ126&gt;=6,"HIGH",IF(AJ126&gt;=3,"WATCH","LOW"))))</f>
        <v/>
      </c>
      <c r="AL126" s="20">
        <f>IF(AJ126="","",TRIM(IF(OR(C126="Major",C126="Systemic"),"major or systemic; ","")&amp;IF(AND(Y126="",S126&lt;&gt;"",TODAY()&gt;S126),"open past agreed date; ","")&amp;IF(AB126="Yes","authority or NOC linked; ","")&amp;IF(AG126="Yes","repeat of a previous NCR; ","")&amp;IF(AND(Y126="",AE126&gt;=14),"programme impact 14 days or more; ","")&amp;IF(AND(Y126="",AD126&gt;=100000),"cost impact AED 100,000 or more; ","")&amp;IF(AND(Y126&lt;&gt;"",V126=""),"closed with no verification date; ","")&amp;IF(AND(Y126&lt;&gt;"",X126=""),"closed without a closure certificate; ","")&amp;IF(AND(Y126&lt;&gt;"",Z126&gt;90),"closed more than 90 days after raising; ","")))</f>
        <v/>
      </c>
    </row>
    <row r="127">
      <c r="A127" s="10" t="n"/>
      <c r="B127" s="11" t="n"/>
      <c r="C127" s="12" t="n"/>
      <c r="D127" s="12" t="n"/>
      <c r="E127" s="12" t="n"/>
      <c r="F127" s="13" t="n"/>
      <c r="G127" s="13" t="n"/>
      <c r="H127" s="13" t="n"/>
      <c r="I127" s="13" t="n"/>
      <c r="J127" s="13" t="n"/>
      <c r="K127" s="13" t="n"/>
      <c r="L127" s="13" t="n"/>
      <c r="M127" s="11" t="n"/>
      <c r="N127" s="11" t="n"/>
      <c r="O127" s="12" t="n"/>
      <c r="P127" s="13" t="n"/>
      <c r="Q127" s="13" t="n"/>
      <c r="R127" s="13" t="n"/>
      <c r="S127" s="11" t="n"/>
      <c r="T127" s="11" t="n"/>
      <c r="U127" s="13" t="n"/>
      <c r="V127" s="11" t="n"/>
      <c r="W127" s="12" t="n"/>
      <c r="X127" s="12" t="n"/>
      <c r="Y127" s="11" t="n"/>
      <c r="Z127" s="14">
        <f>IF(A127="","",IF(Y127&lt;&gt;"",Y127-B127,TODAY()-B127))</f>
        <v/>
      </c>
      <c r="AA127" s="14">
        <f>IF(A127="","",IF(AND(Y127="",TODAY()&gt;S127),"OVERDUE",IF(AND(Y127&lt;&gt;"",Y127&gt;S127),"CLOSED LATE","")))</f>
        <v/>
      </c>
      <c r="AB127" s="12" t="n"/>
      <c r="AC127" s="13" t="n"/>
      <c r="AD127" s="21" t="n"/>
      <c r="AE127" s="12" t="n"/>
      <c r="AF127" s="14">
        <f>IF(A127="","",IF(Y127&lt;&gt;"","Closed",IF(TODAY()&gt;S127,"Overdue","Open")))</f>
        <v/>
      </c>
      <c r="AG127" s="12" t="n"/>
      <c r="AH127" s="13" t="n"/>
      <c r="AI127" s="12" t="n"/>
      <c r="AJ127" s="14">
        <f>IF(A127="","",IF(OR(C127="Major",C127="Systemic"),4,IF(C127="Minor",1,0))+IF(AND(Y127="",S127&lt;&gt;"",TODAY()&gt;S127),3,0)+IF(AB127="Yes",3,0)+IF(AG127="Yes",2,0)+IF(AND(Y127="",AE127&gt;=14),2,0)+IF(AND(Y127="",AD127&gt;=100000),2,0)+IF(AND(Y127&lt;&gt;"",V127=""),3,0)+IF(AND(Y127&lt;&gt;"",X127=""),2,0)+IF(AND(Y127&lt;&gt;"",Z127&gt;90),1,0))</f>
        <v/>
      </c>
      <c r="AK127" s="14">
        <f>IF(AJ127="","",IF(AJ127&gt;=10,"CRITICAL",IF(AJ127&gt;=6,"HIGH",IF(AJ127&gt;=3,"WATCH","LOW"))))</f>
        <v/>
      </c>
      <c r="AL127" s="20">
        <f>IF(AJ127="","",TRIM(IF(OR(C127="Major",C127="Systemic"),"major or systemic; ","")&amp;IF(AND(Y127="",S127&lt;&gt;"",TODAY()&gt;S127),"open past agreed date; ","")&amp;IF(AB127="Yes","authority or NOC linked; ","")&amp;IF(AG127="Yes","repeat of a previous NCR; ","")&amp;IF(AND(Y127="",AE127&gt;=14),"programme impact 14 days or more; ","")&amp;IF(AND(Y127="",AD127&gt;=100000),"cost impact AED 100,000 or more; ","")&amp;IF(AND(Y127&lt;&gt;"",V127=""),"closed with no verification date; ","")&amp;IF(AND(Y127&lt;&gt;"",X127=""),"closed without a closure certificate; ","")&amp;IF(AND(Y127&lt;&gt;"",Z127&gt;90),"closed more than 90 days after raising; ","")))</f>
        <v/>
      </c>
    </row>
    <row r="128">
      <c r="A128" s="10" t="n"/>
      <c r="B128" s="11" t="n"/>
      <c r="C128" s="12" t="n"/>
      <c r="D128" s="12" t="n"/>
      <c r="E128" s="12" t="n"/>
      <c r="F128" s="13" t="n"/>
      <c r="G128" s="13" t="n"/>
      <c r="H128" s="13" t="n"/>
      <c r="I128" s="13" t="n"/>
      <c r="J128" s="13" t="n"/>
      <c r="K128" s="13" t="n"/>
      <c r="L128" s="13" t="n"/>
      <c r="M128" s="11" t="n"/>
      <c r="N128" s="11" t="n"/>
      <c r="O128" s="12" t="n"/>
      <c r="P128" s="13" t="n"/>
      <c r="Q128" s="13" t="n"/>
      <c r="R128" s="13" t="n"/>
      <c r="S128" s="11" t="n"/>
      <c r="T128" s="11" t="n"/>
      <c r="U128" s="13" t="n"/>
      <c r="V128" s="11" t="n"/>
      <c r="W128" s="12" t="n"/>
      <c r="X128" s="12" t="n"/>
      <c r="Y128" s="11" t="n"/>
      <c r="Z128" s="14">
        <f>IF(A128="","",IF(Y128&lt;&gt;"",Y128-B128,TODAY()-B128))</f>
        <v/>
      </c>
      <c r="AA128" s="14">
        <f>IF(A128="","",IF(AND(Y128="",TODAY()&gt;S128),"OVERDUE",IF(AND(Y128&lt;&gt;"",Y128&gt;S128),"CLOSED LATE","")))</f>
        <v/>
      </c>
      <c r="AB128" s="12" t="n"/>
      <c r="AC128" s="13" t="n"/>
      <c r="AD128" s="21" t="n"/>
      <c r="AE128" s="12" t="n"/>
      <c r="AF128" s="14">
        <f>IF(A128="","",IF(Y128&lt;&gt;"","Closed",IF(TODAY()&gt;S128,"Overdue","Open")))</f>
        <v/>
      </c>
      <c r="AG128" s="12" t="n"/>
      <c r="AH128" s="13" t="n"/>
      <c r="AI128" s="12" t="n"/>
      <c r="AJ128" s="14">
        <f>IF(A128="","",IF(OR(C128="Major",C128="Systemic"),4,IF(C128="Minor",1,0))+IF(AND(Y128="",S128&lt;&gt;"",TODAY()&gt;S128),3,0)+IF(AB128="Yes",3,0)+IF(AG128="Yes",2,0)+IF(AND(Y128="",AE128&gt;=14),2,0)+IF(AND(Y128="",AD128&gt;=100000),2,0)+IF(AND(Y128&lt;&gt;"",V128=""),3,0)+IF(AND(Y128&lt;&gt;"",X128=""),2,0)+IF(AND(Y128&lt;&gt;"",Z128&gt;90),1,0))</f>
        <v/>
      </c>
      <c r="AK128" s="14">
        <f>IF(AJ128="","",IF(AJ128&gt;=10,"CRITICAL",IF(AJ128&gt;=6,"HIGH",IF(AJ128&gt;=3,"WATCH","LOW"))))</f>
        <v/>
      </c>
      <c r="AL128" s="20">
        <f>IF(AJ128="","",TRIM(IF(OR(C128="Major",C128="Systemic"),"major or systemic; ","")&amp;IF(AND(Y128="",S128&lt;&gt;"",TODAY()&gt;S128),"open past agreed date; ","")&amp;IF(AB128="Yes","authority or NOC linked; ","")&amp;IF(AG128="Yes","repeat of a previous NCR; ","")&amp;IF(AND(Y128="",AE128&gt;=14),"programme impact 14 days or more; ","")&amp;IF(AND(Y128="",AD128&gt;=100000),"cost impact AED 100,000 or more; ","")&amp;IF(AND(Y128&lt;&gt;"",V128=""),"closed with no verification date; ","")&amp;IF(AND(Y128&lt;&gt;"",X128=""),"closed without a closure certificate; ","")&amp;IF(AND(Y128&lt;&gt;"",Z128&gt;90),"closed more than 90 days after raising; ","")))</f>
        <v/>
      </c>
    </row>
    <row r="129">
      <c r="A129" s="10" t="n"/>
      <c r="B129" s="11" t="n"/>
      <c r="C129" s="12" t="n"/>
      <c r="D129" s="12" t="n"/>
      <c r="E129" s="12" t="n"/>
      <c r="F129" s="13" t="n"/>
      <c r="G129" s="13" t="n"/>
      <c r="H129" s="13" t="n"/>
      <c r="I129" s="13" t="n"/>
      <c r="J129" s="13" t="n"/>
      <c r="K129" s="13" t="n"/>
      <c r="L129" s="13" t="n"/>
      <c r="M129" s="11" t="n"/>
      <c r="N129" s="11" t="n"/>
      <c r="O129" s="12" t="n"/>
      <c r="P129" s="13" t="n"/>
      <c r="Q129" s="13" t="n"/>
      <c r="R129" s="13" t="n"/>
      <c r="S129" s="11" t="n"/>
      <c r="T129" s="11" t="n"/>
      <c r="U129" s="13" t="n"/>
      <c r="V129" s="11" t="n"/>
      <c r="W129" s="12" t="n"/>
      <c r="X129" s="12" t="n"/>
      <c r="Y129" s="11" t="n"/>
      <c r="Z129" s="14">
        <f>IF(A129="","",IF(Y129&lt;&gt;"",Y129-B129,TODAY()-B129))</f>
        <v/>
      </c>
      <c r="AA129" s="14">
        <f>IF(A129="","",IF(AND(Y129="",TODAY()&gt;S129),"OVERDUE",IF(AND(Y129&lt;&gt;"",Y129&gt;S129),"CLOSED LATE","")))</f>
        <v/>
      </c>
      <c r="AB129" s="12" t="n"/>
      <c r="AC129" s="13" t="n"/>
      <c r="AD129" s="21" t="n"/>
      <c r="AE129" s="12" t="n"/>
      <c r="AF129" s="14">
        <f>IF(A129="","",IF(Y129&lt;&gt;"","Closed",IF(TODAY()&gt;S129,"Overdue","Open")))</f>
        <v/>
      </c>
      <c r="AG129" s="12" t="n"/>
      <c r="AH129" s="13" t="n"/>
      <c r="AI129" s="12" t="n"/>
      <c r="AJ129" s="14">
        <f>IF(A129="","",IF(OR(C129="Major",C129="Systemic"),4,IF(C129="Minor",1,0))+IF(AND(Y129="",S129&lt;&gt;"",TODAY()&gt;S129),3,0)+IF(AB129="Yes",3,0)+IF(AG129="Yes",2,0)+IF(AND(Y129="",AE129&gt;=14),2,0)+IF(AND(Y129="",AD129&gt;=100000),2,0)+IF(AND(Y129&lt;&gt;"",V129=""),3,0)+IF(AND(Y129&lt;&gt;"",X129=""),2,0)+IF(AND(Y129&lt;&gt;"",Z129&gt;90),1,0))</f>
        <v/>
      </c>
      <c r="AK129" s="14">
        <f>IF(AJ129="","",IF(AJ129&gt;=10,"CRITICAL",IF(AJ129&gt;=6,"HIGH",IF(AJ129&gt;=3,"WATCH","LOW"))))</f>
        <v/>
      </c>
      <c r="AL129" s="20">
        <f>IF(AJ129="","",TRIM(IF(OR(C129="Major",C129="Systemic"),"major or systemic; ","")&amp;IF(AND(Y129="",S129&lt;&gt;"",TODAY()&gt;S129),"open past agreed date; ","")&amp;IF(AB129="Yes","authority or NOC linked; ","")&amp;IF(AG129="Yes","repeat of a previous NCR; ","")&amp;IF(AND(Y129="",AE129&gt;=14),"programme impact 14 days or more; ","")&amp;IF(AND(Y129="",AD129&gt;=100000),"cost impact AED 100,000 or more; ","")&amp;IF(AND(Y129&lt;&gt;"",V129=""),"closed with no verification date; ","")&amp;IF(AND(Y129&lt;&gt;"",X129=""),"closed without a closure certificate; ","")&amp;IF(AND(Y129&lt;&gt;"",Z129&gt;90),"closed more than 90 days after raising; ","")))</f>
        <v/>
      </c>
    </row>
    <row r="130">
      <c r="A130" s="10" t="n"/>
      <c r="B130" s="11" t="n"/>
      <c r="C130" s="12" t="n"/>
      <c r="D130" s="12" t="n"/>
      <c r="E130" s="12" t="n"/>
      <c r="F130" s="13" t="n"/>
      <c r="G130" s="13" t="n"/>
      <c r="H130" s="13" t="n"/>
      <c r="I130" s="13" t="n"/>
      <c r="J130" s="13" t="n"/>
      <c r="K130" s="13" t="n"/>
      <c r="L130" s="13" t="n"/>
      <c r="M130" s="11" t="n"/>
      <c r="N130" s="11" t="n"/>
      <c r="O130" s="12" t="n"/>
      <c r="P130" s="13" t="n"/>
      <c r="Q130" s="13" t="n"/>
      <c r="R130" s="13" t="n"/>
      <c r="S130" s="11" t="n"/>
      <c r="T130" s="11" t="n"/>
      <c r="U130" s="13" t="n"/>
      <c r="V130" s="11" t="n"/>
      <c r="W130" s="12" t="n"/>
      <c r="X130" s="12" t="n"/>
      <c r="Y130" s="11" t="n"/>
      <c r="Z130" s="14">
        <f>IF(A130="","",IF(Y130&lt;&gt;"",Y130-B130,TODAY()-B130))</f>
        <v/>
      </c>
      <c r="AA130" s="14">
        <f>IF(A130="","",IF(AND(Y130="",TODAY()&gt;S130),"OVERDUE",IF(AND(Y130&lt;&gt;"",Y130&gt;S130),"CLOSED LATE","")))</f>
        <v/>
      </c>
      <c r="AB130" s="12" t="n"/>
      <c r="AC130" s="13" t="n"/>
      <c r="AD130" s="21" t="n"/>
      <c r="AE130" s="12" t="n"/>
      <c r="AF130" s="14">
        <f>IF(A130="","",IF(Y130&lt;&gt;"","Closed",IF(TODAY()&gt;S130,"Overdue","Open")))</f>
        <v/>
      </c>
      <c r="AG130" s="12" t="n"/>
      <c r="AH130" s="13" t="n"/>
      <c r="AI130" s="12" t="n"/>
      <c r="AJ130" s="14">
        <f>IF(A130="","",IF(OR(C130="Major",C130="Systemic"),4,IF(C130="Minor",1,0))+IF(AND(Y130="",S130&lt;&gt;"",TODAY()&gt;S130),3,0)+IF(AB130="Yes",3,0)+IF(AG130="Yes",2,0)+IF(AND(Y130="",AE130&gt;=14),2,0)+IF(AND(Y130="",AD130&gt;=100000),2,0)+IF(AND(Y130&lt;&gt;"",V130=""),3,0)+IF(AND(Y130&lt;&gt;"",X130=""),2,0)+IF(AND(Y130&lt;&gt;"",Z130&gt;90),1,0))</f>
        <v/>
      </c>
      <c r="AK130" s="14">
        <f>IF(AJ130="","",IF(AJ130&gt;=10,"CRITICAL",IF(AJ130&gt;=6,"HIGH",IF(AJ130&gt;=3,"WATCH","LOW"))))</f>
        <v/>
      </c>
      <c r="AL130" s="20">
        <f>IF(AJ130="","",TRIM(IF(OR(C130="Major",C130="Systemic"),"major or systemic; ","")&amp;IF(AND(Y130="",S130&lt;&gt;"",TODAY()&gt;S130),"open past agreed date; ","")&amp;IF(AB130="Yes","authority or NOC linked; ","")&amp;IF(AG130="Yes","repeat of a previous NCR; ","")&amp;IF(AND(Y130="",AE130&gt;=14),"programme impact 14 days or more; ","")&amp;IF(AND(Y130="",AD130&gt;=100000),"cost impact AED 100,000 or more; ","")&amp;IF(AND(Y130&lt;&gt;"",V130=""),"closed with no verification date; ","")&amp;IF(AND(Y130&lt;&gt;"",X130=""),"closed without a closure certificate; ","")&amp;IF(AND(Y130&lt;&gt;"",Z130&gt;90),"closed more than 90 days after raising; ","")))</f>
        <v/>
      </c>
    </row>
    <row r="131">
      <c r="A131" s="10" t="n"/>
      <c r="B131" s="11" t="n"/>
      <c r="C131" s="12" t="n"/>
      <c r="D131" s="12" t="n"/>
      <c r="E131" s="12" t="n"/>
      <c r="F131" s="13" t="n"/>
      <c r="G131" s="13" t="n"/>
      <c r="H131" s="13" t="n"/>
      <c r="I131" s="13" t="n"/>
      <c r="J131" s="13" t="n"/>
      <c r="K131" s="13" t="n"/>
      <c r="L131" s="13" t="n"/>
      <c r="M131" s="11" t="n"/>
      <c r="N131" s="11" t="n"/>
      <c r="O131" s="12" t="n"/>
      <c r="P131" s="13" t="n"/>
      <c r="Q131" s="13" t="n"/>
      <c r="R131" s="13" t="n"/>
      <c r="S131" s="11" t="n"/>
      <c r="T131" s="11" t="n"/>
      <c r="U131" s="13" t="n"/>
      <c r="V131" s="11" t="n"/>
      <c r="W131" s="12" t="n"/>
      <c r="X131" s="12" t="n"/>
      <c r="Y131" s="11" t="n"/>
      <c r="Z131" s="14">
        <f>IF(A131="","",IF(Y131&lt;&gt;"",Y131-B131,TODAY()-B131))</f>
        <v/>
      </c>
      <c r="AA131" s="14">
        <f>IF(A131="","",IF(AND(Y131="",TODAY()&gt;S131),"OVERDUE",IF(AND(Y131&lt;&gt;"",Y131&gt;S131),"CLOSED LATE","")))</f>
        <v/>
      </c>
      <c r="AB131" s="12" t="n"/>
      <c r="AC131" s="13" t="n"/>
      <c r="AD131" s="21" t="n"/>
      <c r="AE131" s="12" t="n"/>
      <c r="AF131" s="14">
        <f>IF(A131="","",IF(Y131&lt;&gt;"","Closed",IF(TODAY()&gt;S131,"Overdue","Open")))</f>
        <v/>
      </c>
      <c r="AG131" s="12" t="n"/>
      <c r="AH131" s="13" t="n"/>
      <c r="AI131" s="12" t="n"/>
      <c r="AJ131" s="14">
        <f>IF(A131="","",IF(OR(C131="Major",C131="Systemic"),4,IF(C131="Minor",1,0))+IF(AND(Y131="",S131&lt;&gt;"",TODAY()&gt;S131),3,0)+IF(AB131="Yes",3,0)+IF(AG131="Yes",2,0)+IF(AND(Y131="",AE131&gt;=14),2,0)+IF(AND(Y131="",AD131&gt;=100000),2,0)+IF(AND(Y131&lt;&gt;"",V131=""),3,0)+IF(AND(Y131&lt;&gt;"",X131=""),2,0)+IF(AND(Y131&lt;&gt;"",Z131&gt;90),1,0))</f>
        <v/>
      </c>
      <c r="AK131" s="14">
        <f>IF(AJ131="","",IF(AJ131&gt;=10,"CRITICAL",IF(AJ131&gt;=6,"HIGH",IF(AJ131&gt;=3,"WATCH","LOW"))))</f>
        <v/>
      </c>
      <c r="AL131" s="20">
        <f>IF(AJ131="","",TRIM(IF(OR(C131="Major",C131="Systemic"),"major or systemic; ","")&amp;IF(AND(Y131="",S131&lt;&gt;"",TODAY()&gt;S131),"open past agreed date; ","")&amp;IF(AB131="Yes","authority or NOC linked; ","")&amp;IF(AG131="Yes","repeat of a previous NCR; ","")&amp;IF(AND(Y131="",AE131&gt;=14),"programme impact 14 days or more; ","")&amp;IF(AND(Y131="",AD131&gt;=100000),"cost impact AED 100,000 or more; ","")&amp;IF(AND(Y131&lt;&gt;"",V131=""),"closed with no verification date; ","")&amp;IF(AND(Y131&lt;&gt;"",X131=""),"closed without a closure certificate; ","")&amp;IF(AND(Y131&lt;&gt;"",Z131&gt;90),"closed more than 90 days after raising; ","")))</f>
        <v/>
      </c>
    </row>
    <row r="132">
      <c r="A132" s="10" t="n"/>
      <c r="B132" s="11" t="n"/>
      <c r="C132" s="12" t="n"/>
      <c r="D132" s="12" t="n"/>
      <c r="E132" s="12" t="n"/>
      <c r="F132" s="13" t="n"/>
      <c r="G132" s="13" t="n"/>
      <c r="H132" s="13" t="n"/>
      <c r="I132" s="13" t="n"/>
      <c r="J132" s="13" t="n"/>
      <c r="K132" s="13" t="n"/>
      <c r="L132" s="13" t="n"/>
      <c r="M132" s="11" t="n"/>
      <c r="N132" s="11" t="n"/>
      <c r="O132" s="12" t="n"/>
      <c r="P132" s="13" t="n"/>
      <c r="Q132" s="13" t="n"/>
      <c r="R132" s="13" t="n"/>
      <c r="S132" s="11" t="n"/>
      <c r="T132" s="11" t="n"/>
      <c r="U132" s="13" t="n"/>
      <c r="V132" s="11" t="n"/>
      <c r="W132" s="12" t="n"/>
      <c r="X132" s="12" t="n"/>
      <c r="Y132" s="11" t="n"/>
      <c r="Z132" s="14">
        <f>IF(A132="","",IF(Y132&lt;&gt;"",Y132-B132,TODAY()-B132))</f>
        <v/>
      </c>
      <c r="AA132" s="14">
        <f>IF(A132="","",IF(AND(Y132="",TODAY()&gt;S132),"OVERDUE",IF(AND(Y132&lt;&gt;"",Y132&gt;S132),"CLOSED LATE","")))</f>
        <v/>
      </c>
      <c r="AB132" s="12" t="n"/>
      <c r="AC132" s="13" t="n"/>
      <c r="AD132" s="21" t="n"/>
      <c r="AE132" s="12" t="n"/>
      <c r="AF132" s="14">
        <f>IF(A132="","",IF(Y132&lt;&gt;"","Closed",IF(TODAY()&gt;S132,"Overdue","Open")))</f>
        <v/>
      </c>
      <c r="AG132" s="12" t="n"/>
      <c r="AH132" s="13" t="n"/>
      <c r="AI132" s="12" t="n"/>
      <c r="AJ132" s="14">
        <f>IF(A132="","",IF(OR(C132="Major",C132="Systemic"),4,IF(C132="Minor",1,0))+IF(AND(Y132="",S132&lt;&gt;"",TODAY()&gt;S132),3,0)+IF(AB132="Yes",3,0)+IF(AG132="Yes",2,0)+IF(AND(Y132="",AE132&gt;=14),2,0)+IF(AND(Y132="",AD132&gt;=100000),2,0)+IF(AND(Y132&lt;&gt;"",V132=""),3,0)+IF(AND(Y132&lt;&gt;"",X132=""),2,0)+IF(AND(Y132&lt;&gt;"",Z132&gt;90),1,0))</f>
        <v/>
      </c>
      <c r="AK132" s="14">
        <f>IF(AJ132="","",IF(AJ132&gt;=10,"CRITICAL",IF(AJ132&gt;=6,"HIGH",IF(AJ132&gt;=3,"WATCH","LOW"))))</f>
        <v/>
      </c>
      <c r="AL132" s="20">
        <f>IF(AJ132="","",TRIM(IF(OR(C132="Major",C132="Systemic"),"major or systemic; ","")&amp;IF(AND(Y132="",S132&lt;&gt;"",TODAY()&gt;S132),"open past agreed date; ","")&amp;IF(AB132="Yes","authority or NOC linked; ","")&amp;IF(AG132="Yes","repeat of a previous NCR; ","")&amp;IF(AND(Y132="",AE132&gt;=14),"programme impact 14 days or more; ","")&amp;IF(AND(Y132="",AD132&gt;=100000),"cost impact AED 100,000 or more; ","")&amp;IF(AND(Y132&lt;&gt;"",V132=""),"closed with no verification date; ","")&amp;IF(AND(Y132&lt;&gt;"",X132=""),"closed without a closure certificate; ","")&amp;IF(AND(Y132&lt;&gt;"",Z132&gt;90),"closed more than 90 days after raising; ","")))</f>
        <v/>
      </c>
    </row>
    <row r="133">
      <c r="A133" s="10" t="n"/>
      <c r="B133" s="11" t="n"/>
      <c r="C133" s="12" t="n"/>
      <c r="D133" s="12" t="n"/>
      <c r="E133" s="12" t="n"/>
      <c r="F133" s="13" t="n"/>
      <c r="G133" s="13" t="n"/>
      <c r="H133" s="13" t="n"/>
      <c r="I133" s="13" t="n"/>
      <c r="J133" s="13" t="n"/>
      <c r="K133" s="13" t="n"/>
      <c r="L133" s="13" t="n"/>
      <c r="M133" s="11" t="n"/>
      <c r="N133" s="11" t="n"/>
      <c r="O133" s="12" t="n"/>
      <c r="P133" s="13" t="n"/>
      <c r="Q133" s="13" t="n"/>
      <c r="R133" s="13" t="n"/>
      <c r="S133" s="11" t="n"/>
      <c r="T133" s="11" t="n"/>
      <c r="U133" s="13" t="n"/>
      <c r="V133" s="11" t="n"/>
      <c r="W133" s="12" t="n"/>
      <c r="X133" s="12" t="n"/>
      <c r="Y133" s="11" t="n"/>
      <c r="Z133" s="14">
        <f>IF(A133="","",IF(Y133&lt;&gt;"",Y133-B133,TODAY()-B133))</f>
        <v/>
      </c>
      <c r="AA133" s="14">
        <f>IF(A133="","",IF(AND(Y133="",TODAY()&gt;S133),"OVERDUE",IF(AND(Y133&lt;&gt;"",Y133&gt;S133),"CLOSED LATE","")))</f>
        <v/>
      </c>
      <c r="AB133" s="12" t="n"/>
      <c r="AC133" s="13" t="n"/>
      <c r="AD133" s="21" t="n"/>
      <c r="AE133" s="12" t="n"/>
      <c r="AF133" s="14">
        <f>IF(A133="","",IF(Y133&lt;&gt;"","Closed",IF(TODAY()&gt;S133,"Overdue","Open")))</f>
        <v/>
      </c>
      <c r="AG133" s="12" t="n"/>
      <c r="AH133" s="13" t="n"/>
      <c r="AI133" s="12" t="n"/>
      <c r="AJ133" s="14">
        <f>IF(A133="","",IF(OR(C133="Major",C133="Systemic"),4,IF(C133="Minor",1,0))+IF(AND(Y133="",S133&lt;&gt;"",TODAY()&gt;S133),3,0)+IF(AB133="Yes",3,0)+IF(AG133="Yes",2,0)+IF(AND(Y133="",AE133&gt;=14),2,0)+IF(AND(Y133="",AD133&gt;=100000),2,0)+IF(AND(Y133&lt;&gt;"",V133=""),3,0)+IF(AND(Y133&lt;&gt;"",X133=""),2,0)+IF(AND(Y133&lt;&gt;"",Z133&gt;90),1,0))</f>
        <v/>
      </c>
      <c r="AK133" s="14">
        <f>IF(AJ133="","",IF(AJ133&gt;=10,"CRITICAL",IF(AJ133&gt;=6,"HIGH",IF(AJ133&gt;=3,"WATCH","LOW"))))</f>
        <v/>
      </c>
      <c r="AL133" s="20">
        <f>IF(AJ133="","",TRIM(IF(OR(C133="Major",C133="Systemic"),"major or systemic; ","")&amp;IF(AND(Y133="",S133&lt;&gt;"",TODAY()&gt;S133),"open past agreed date; ","")&amp;IF(AB133="Yes","authority or NOC linked; ","")&amp;IF(AG133="Yes","repeat of a previous NCR; ","")&amp;IF(AND(Y133="",AE133&gt;=14),"programme impact 14 days or more; ","")&amp;IF(AND(Y133="",AD133&gt;=100000),"cost impact AED 100,000 or more; ","")&amp;IF(AND(Y133&lt;&gt;"",V133=""),"closed with no verification date; ","")&amp;IF(AND(Y133&lt;&gt;"",X133=""),"closed without a closure certificate; ","")&amp;IF(AND(Y133&lt;&gt;"",Z133&gt;90),"closed more than 90 days after raising; ","")))</f>
        <v/>
      </c>
    </row>
    <row r="134">
      <c r="A134" s="10" t="n"/>
      <c r="B134" s="11" t="n"/>
      <c r="C134" s="12" t="n"/>
      <c r="D134" s="12" t="n"/>
      <c r="E134" s="12" t="n"/>
      <c r="F134" s="13" t="n"/>
      <c r="G134" s="13" t="n"/>
      <c r="H134" s="13" t="n"/>
      <c r="I134" s="13" t="n"/>
      <c r="J134" s="13" t="n"/>
      <c r="K134" s="13" t="n"/>
      <c r="L134" s="13" t="n"/>
      <c r="M134" s="11" t="n"/>
      <c r="N134" s="11" t="n"/>
      <c r="O134" s="12" t="n"/>
      <c r="P134" s="13" t="n"/>
      <c r="Q134" s="13" t="n"/>
      <c r="R134" s="13" t="n"/>
      <c r="S134" s="11" t="n"/>
      <c r="T134" s="11" t="n"/>
      <c r="U134" s="13" t="n"/>
      <c r="V134" s="11" t="n"/>
      <c r="W134" s="12" t="n"/>
      <c r="X134" s="12" t="n"/>
      <c r="Y134" s="11" t="n"/>
      <c r="Z134" s="14">
        <f>IF(A134="","",IF(Y134&lt;&gt;"",Y134-B134,TODAY()-B134))</f>
        <v/>
      </c>
      <c r="AA134" s="14">
        <f>IF(A134="","",IF(AND(Y134="",TODAY()&gt;S134),"OVERDUE",IF(AND(Y134&lt;&gt;"",Y134&gt;S134),"CLOSED LATE","")))</f>
        <v/>
      </c>
      <c r="AB134" s="12" t="n"/>
      <c r="AC134" s="13" t="n"/>
      <c r="AD134" s="21" t="n"/>
      <c r="AE134" s="12" t="n"/>
      <c r="AF134" s="14">
        <f>IF(A134="","",IF(Y134&lt;&gt;"","Closed",IF(TODAY()&gt;S134,"Overdue","Open")))</f>
        <v/>
      </c>
      <c r="AG134" s="12" t="n"/>
      <c r="AH134" s="13" t="n"/>
      <c r="AI134" s="12" t="n"/>
      <c r="AJ134" s="14">
        <f>IF(A134="","",IF(OR(C134="Major",C134="Systemic"),4,IF(C134="Minor",1,0))+IF(AND(Y134="",S134&lt;&gt;"",TODAY()&gt;S134),3,0)+IF(AB134="Yes",3,0)+IF(AG134="Yes",2,0)+IF(AND(Y134="",AE134&gt;=14),2,0)+IF(AND(Y134="",AD134&gt;=100000),2,0)+IF(AND(Y134&lt;&gt;"",V134=""),3,0)+IF(AND(Y134&lt;&gt;"",X134=""),2,0)+IF(AND(Y134&lt;&gt;"",Z134&gt;90),1,0))</f>
        <v/>
      </c>
      <c r="AK134" s="14">
        <f>IF(AJ134="","",IF(AJ134&gt;=10,"CRITICAL",IF(AJ134&gt;=6,"HIGH",IF(AJ134&gt;=3,"WATCH","LOW"))))</f>
        <v/>
      </c>
      <c r="AL134" s="20">
        <f>IF(AJ134="","",TRIM(IF(OR(C134="Major",C134="Systemic"),"major or systemic; ","")&amp;IF(AND(Y134="",S134&lt;&gt;"",TODAY()&gt;S134),"open past agreed date; ","")&amp;IF(AB134="Yes","authority or NOC linked; ","")&amp;IF(AG134="Yes","repeat of a previous NCR; ","")&amp;IF(AND(Y134="",AE134&gt;=14),"programme impact 14 days or more; ","")&amp;IF(AND(Y134="",AD134&gt;=100000),"cost impact AED 100,000 or more; ","")&amp;IF(AND(Y134&lt;&gt;"",V134=""),"closed with no verification date; ","")&amp;IF(AND(Y134&lt;&gt;"",X134=""),"closed without a closure certificate; ","")&amp;IF(AND(Y134&lt;&gt;"",Z134&gt;90),"closed more than 90 days after raising; ","")))</f>
        <v/>
      </c>
    </row>
    <row r="135">
      <c r="A135" s="10" t="n"/>
      <c r="B135" s="11" t="n"/>
      <c r="C135" s="12" t="n"/>
      <c r="D135" s="12" t="n"/>
      <c r="E135" s="12" t="n"/>
      <c r="F135" s="13" t="n"/>
      <c r="G135" s="13" t="n"/>
      <c r="H135" s="13" t="n"/>
      <c r="I135" s="13" t="n"/>
      <c r="J135" s="13" t="n"/>
      <c r="K135" s="13" t="n"/>
      <c r="L135" s="13" t="n"/>
      <c r="M135" s="11" t="n"/>
      <c r="N135" s="11" t="n"/>
      <c r="O135" s="12" t="n"/>
      <c r="P135" s="13" t="n"/>
      <c r="Q135" s="13" t="n"/>
      <c r="R135" s="13" t="n"/>
      <c r="S135" s="11" t="n"/>
      <c r="T135" s="11" t="n"/>
      <c r="U135" s="13" t="n"/>
      <c r="V135" s="11" t="n"/>
      <c r="W135" s="12" t="n"/>
      <c r="X135" s="12" t="n"/>
      <c r="Y135" s="11" t="n"/>
      <c r="Z135" s="14">
        <f>IF(A135="","",IF(Y135&lt;&gt;"",Y135-B135,TODAY()-B135))</f>
        <v/>
      </c>
      <c r="AA135" s="14">
        <f>IF(A135="","",IF(AND(Y135="",TODAY()&gt;S135),"OVERDUE",IF(AND(Y135&lt;&gt;"",Y135&gt;S135),"CLOSED LATE","")))</f>
        <v/>
      </c>
      <c r="AB135" s="12" t="n"/>
      <c r="AC135" s="13" t="n"/>
      <c r="AD135" s="21" t="n"/>
      <c r="AE135" s="12" t="n"/>
      <c r="AF135" s="14">
        <f>IF(A135="","",IF(Y135&lt;&gt;"","Closed",IF(TODAY()&gt;S135,"Overdue","Open")))</f>
        <v/>
      </c>
      <c r="AG135" s="12" t="n"/>
      <c r="AH135" s="13" t="n"/>
      <c r="AI135" s="12" t="n"/>
      <c r="AJ135" s="14">
        <f>IF(A135="","",IF(OR(C135="Major",C135="Systemic"),4,IF(C135="Minor",1,0))+IF(AND(Y135="",S135&lt;&gt;"",TODAY()&gt;S135),3,0)+IF(AB135="Yes",3,0)+IF(AG135="Yes",2,0)+IF(AND(Y135="",AE135&gt;=14),2,0)+IF(AND(Y135="",AD135&gt;=100000),2,0)+IF(AND(Y135&lt;&gt;"",V135=""),3,0)+IF(AND(Y135&lt;&gt;"",X135=""),2,0)+IF(AND(Y135&lt;&gt;"",Z135&gt;90),1,0))</f>
        <v/>
      </c>
      <c r="AK135" s="14">
        <f>IF(AJ135="","",IF(AJ135&gt;=10,"CRITICAL",IF(AJ135&gt;=6,"HIGH",IF(AJ135&gt;=3,"WATCH","LOW"))))</f>
        <v/>
      </c>
      <c r="AL135" s="20">
        <f>IF(AJ135="","",TRIM(IF(OR(C135="Major",C135="Systemic"),"major or systemic; ","")&amp;IF(AND(Y135="",S135&lt;&gt;"",TODAY()&gt;S135),"open past agreed date; ","")&amp;IF(AB135="Yes","authority or NOC linked; ","")&amp;IF(AG135="Yes","repeat of a previous NCR; ","")&amp;IF(AND(Y135="",AE135&gt;=14),"programme impact 14 days or more; ","")&amp;IF(AND(Y135="",AD135&gt;=100000),"cost impact AED 100,000 or more; ","")&amp;IF(AND(Y135&lt;&gt;"",V135=""),"closed with no verification date; ","")&amp;IF(AND(Y135&lt;&gt;"",X135=""),"closed without a closure certificate; ","")&amp;IF(AND(Y135&lt;&gt;"",Z135&gt;90),"closed more than 90 days after raising; ","")))</f>
        <v/>
      </c>
    </row>
    <row r="136">
      <c r="A136" s="10" t="n"/>
      <c r="B136" s="11" t="n"/>
      <c r="C136" s="12" t="n"/>
      <c r="D136" s="12" t="n"/>
      <c r="E136" s="12" t="n"/>
      <c r="F136" s="13" t="n"/>
      <c r="G136" s="13" t="n"/>
      <c r="H136" s="13" t="n"/>
      <c r="I136" s="13" t="n"/>
      <c r="J136" s="13" t="n"/>
      <c r="K136" s="13" t="n"/>
      <c r="L136" s="13" t="n"/>
      <c r="M136" s="11" t="n"/>
      <c r="N136" s="11" t="n"/>
      <c r="O136" s="12" t="n"/>
      <c r="P136" s="13" t="n"/>
      <c r="Q136" s="13" t="n"/>
      <c r="R136" s="13" t="n"/>
      <c r="S136" s="11" t="n"/>
      <c r="T136" s="11" t="n"/>
      <c r="U136" s="13" t="n"/>
      <c r="V136" s="11" t="n"/>
      <c r="W136" s="12" t="n"/>
      <c r="X136" s="12" t="n"/>
      <c r="Y136" s="11" t="n"/>
      <c r="Z136" s="14">
        <f>IF(A136="","",IF(Y136&lt;&gt;"",Y136-B136,TODAY()-B136))</f>
        <v/>
      </c>
      <c r="AA136" s="14">
        <f>IF(A136="","",IF(AND(Y136="",TODAY()&gt;S136),"OVERDUE",IF(AND(Y136&lt;&gt;"",Y136&gt;S136),"CLOSED LATE","")))</f>
        <v/>
      </c>
      <c r="AB136" s="12" t="n"/>
      <c r="AC136" s="13" t="n"/>
      <c r="AD136" s="21" t="n"/>
      <c r="AE136" s="12" t="n"/>
      <c r="AF136" s="14">
        <f>IF(A136="","",IF(Y136&lt;&gt;"","Closed",IF(TODAY()&gt;S136,"Overdue","Open")))</f>
        <v/>
      </c>
      <c r="AG136" s="12" t="n"/>
      <c r="AH136" s="13" t="n"/>
      <c r="AI136" s="12" t="n"/>
      <c r="AJ136" s="14">
        <f>IF(A136="","",IF(OR(C136="Major",C136="Systemic"),4,IF(C136="Minor",1,0))+IF(AND(Y136="",S136&lt;&gt;"",TODAY()&gt;S136),3,0)+IF(AB136="Yes",3,0)+IF(AG136="Yes",2,0)+IF(AND(Y136="",AE136&gt;=14),2,0)+IF(AND(Y136="",AD136&gt;=100000),2,0)+IF(AND(Y136&lt;&gt;"",V136=""),3,0)+IF(AND(Y136&lt;&gt;"",X136=""),2,0)+IF(AND(Y136&lt;&gt;"",Z136&gt;90),1,0))</f>
        <v/>
      </c>
      <c r="AK136" s="14">
        <f>IF(AJ136="","",IF(AJ136&gt;=10,"CRITICAL",IF(AJ136&gt;=6,"HIGH",IF(AJ136&gt;=3,"WATCH","LOW"))))</f>
        <v/>
      </c>
      <c r="AL136" s="20">
        <f>IF(AJ136="","",TRIM(IF(OR(C136="Major",C136="Systemic"),"major or systemic; ","")&amp;IF(AND(Y136="",S136&lt;&gt;"",TODAY()&gt;S136),"open past agreed date; ","")&amp;IF(AB136="Yes","authority or NOC linked; ","")&amp;IF(AG136="Yes","repeat of a previous NCR; ","")&amp;IF(AND(Y136="",AE136&gt;=14),"programme impact 14 days or more; ","")&amp;IF(AND(Y136="",AD136&gt;=100000),"cost impact AED 100,000 or more; ","")&amp;IF(AND(Y136&lt;&gt;"",V136=""),"closed with no verification date; ","")&amp;IF(AND(Y136&lt;&gt;"",X136=""),"closed without a closure certificate; ","")&amp;IF(AND(Y136&lt;&gt;"",Z136&gt;90),"closed more than 90 days after raising; ","")))</f>
        <v/>
      </c>
    </row>
    <row r="137">
      <c r="A137" s="10" t="n"/>
      <c r="B137" s="11" t="n"/>
      <c r="C137" s="12" t="n"/>
      <c r="D137" s="12" t="n"/>
      <c r="E137" s="12" t="n"/>
      <c r="F137" s="13" t="n"/>
      <c r="G137" s="13" t="n"/>
      <c r="H137" s="13" t="n"/>
      <c r="I137" s="13" t="n"/>
      <c r="J137" s="13" t="n"/>
      <c r="K137" s="13" t="n"/>
      <c r="L137" s="13" t="n"/>
      <c r="M137" s="11" t="n"/>
      <c r="N137" s="11" t="n"/>
      <c r="O137" s="12" t="n"/>
      <c r="P137" s="13" t="n"/>
      <c r="Q137" s="13" t="n"/>
      <c r="R137" s="13" t="n"/>
      <c r="S137" s="11" t="n"/>
      <c r="T137" s="11" t="n"/>
      <c r="U137" s="13" t="n"/>
      <c r="V137" s="11" t="n"/>
      <c r="W137" s="12" t="n"/>
      <c r="X137" s="12" t="n"/>
      <c r="Y137" s="11" t="n"/>
      <c r="Z137" s="14">
        <f>IF(A137="","",IF(Y137&lt;&gt;"",Y137-B137,TODAY()-B137))</f>
        <v/>
      </c>
      <c r="AA137" s="14">
        <f>IF(A137="","",IF(AND(Y137="",TODAY()&gt;S137),"OVERDUE",IF(AND(Y137&lt;&gt;"",Y137&gt;S137),"CLOSED LATE","")))</f>
        <v/>
      </c>
      <c r="AB137" s="12" t="n"/>
      <c r="AC137" s="13" t="n"/>
      <c r="AD137" s="21" t="n"/>
      <c r="AE137" s="12" t="n"/>
      <c r="AF137" s="14">
        <f>IF(A137="","",IF(Y137&lt;&gt;"","Closed",IF(TODAY()&gt;S137,"Overdue","Open")))</f>
        <v/>
      </c>
      <c r="AG137" s="12" t="n"/>
      <c r="AH137" s="13" t="n"/>
      <c r="AI137" s="12" t="n"/>
      <c r="AJ137" s="14">
        <f>IF(A137="","",IF(OR(C137="Major",C137="Systemic"),4,IF(C137="Minor",1,0))+IF(AND(Y137="",S137&lt;&gt;"",TODAY()&gt;S137),3,0)+IF(AB137="Yes",3,0)+IF(AG137="Yes",2,0)+IF(AND(Y137="",AE137&gt;=14),2,0)+IF(AND(Y137="",AD137&gt;=100000),2,0)+IF(AND(Y137&lt;&gt;"",V137=""),3,0)+IF(AND(Y137&lt;&gt;"",X137=""),2,0)+IF(AND(Y137&lt;&gt;"",Z137&gt;90),1,0))</f>
        <v/>
      </c>
      <c r="AK137" s="14">
        <f>IF(AJ137="","",IF(AJ137&gt;=10,"CRITICAL",IF(AJ137&gt;=6,"HIGH",IF(AJ137&gt;=3,"WATCH","LOW"))))</f>
        <v/>
      </c>
      <c r="AL137" s="20">
        <f>IF(AJ137="","",TRIM(IF(OR(C137="Major",C137="Systemic"),"major or systemic; ","")&amp;IF(AND(Y137="",S137&lt;&gt;"",TODAY()&gt;S137),"open past agreed date; ","")&amp;IF(AB137="Yes","authority or NOC linked; ","")&amp;IF(AG137="Yes","repeat of a previous NCR; ","")&amp;IF(AND(Y137="",AE137&gt;=14),"programme impact 14 days or more; ","")&amp;IF(AND(Y137="",AD137&gt;=100000),"cost impact AED 100,000 or more; ","")&amp;IF(AND(Y137&lt;&gt;"",V137=""),"closed with no verification date; ","")&amp;IF(AND(Y137&lt;&gt;"",X137=""),"closed without a closure certificate; ","")&amp;IF(AND(Y137&lt;&gt;"",Z137&gt;90),"closed more than 90 days after raising; ","")))</f>
        <v/>
      </c>
    </row>
    <row r="138">
      <c r="A138" s="10" t="n"/>
      <c r="B138" s="11" t="n"/>
      <c r="C138" s="12" t="n"/>
      <c r="D138" s="12" t="n"/>
      <c r="E138" s="12" t="n"/>
      <c r="F138" s="13" t="n"/>
      <c r="G138" s="13" t="n"/>
      <c r="H138" s="13" t="n"/>
      <c r="I138" s="13" t="n"/>
      <c r="J138" s="13" t="n"/>
      <c r="K138" s="13" t="n"/>
      <c r="L138" s="13" t="n"/>
      <c r="M138" s="11" t="n"/>
      <c r="N138" s="11" t="n"/>
      <c r="O138" s="12" t="n"/>
      <c r="P138" s="13" t="n"/>
      <c r="Q138" s="13" t="n"/>
      <c r="R138" s="13" t="n"/>
      <c r="S138" s="11" t="n"/>
      <c r="T138" s="11" t="n"/>
      <c r="U138" s="13" t="n"/>
      <c r="V138" s="11" t="n"/>
      <c r="W138" s="12" t="n"/>
      <c r="X138" s="12" t="n"/>
      <c r="Y138" s="11" t="n"/>
      <c r="Z138" s="14">
        <f>IF(A138="","",IF(Y138&lt;&gt;"",Y138-B138,TODAY()-B138))</f>
        <v/>
      </c>
      <c r="AA138" s="14">
        <f>IF(A138="","",IF(AND(Y138="",TODAY()&gt;S138),"OVERDUE",IF(AND(Y138&lt;&gt;"",Y138&gt;S138),"CLOSED LATE","")))</f>
        <v/>
      </c>
      <c r="AB138" s="12" t="n"/>
      <c r="AC138" s="13" t="n"/>
      <c r="AD138" s="21" t="n"/>
      <c r="AE138" s="12" t="n"/>
      <c r="AF138" s="14">
        <f>IF(A138="","",IF(Y138&lt;&gt;"","Closed",IF(TODAY()&gt;S138,"Overdue","Open")))</f>
        <v/>
      </c>
      <c r="AG138" s="12" t="n"/>
      <c r="AH138" s="13" t="n"/>
      <c r="AI138" s="12" t="n"/>
      <c r="AJ138" s="14">
        <f>IF(A138="","",IF(OR(C138="Major",C138="Systemic"),4,IF(C138="Minor",1,0))+IF(AND(Y138="",S138&lt;&gt;"",TODAY()&gt;S138),3,0)+IF(AB138="Yes",3,0)+IF(AG138="Yes",2,0)+IF(AND(Y138="",AE138&gt;=14),2,0)+IF(AND(Y138="",AD138&gt;=100000),2,0)+IF(AND(Y138&lt;&gt;"",V138=""),3,0)+IF(AND(Y138&lt;&gt;"",X138=""),2,0)+IF(AND(Y138&lt;&gt;"",Z138&gt;90),1,0))</f>
        <v/>
      </c>
      <c r="AK138" s="14">
        <f>IF(AJ138="","",IF(AJ138&gt;=10,"CRITICAL",IF(AJ138&gt;=6,"HIGH",IF(AJ138&gt;=3,"WATCH","LOW"))))</f>
        <v/>
      </c>
      <c r="AL138" s="20">
        <f>IF(AJ138="","",TRIM(IF(OR(C138="Major",C138="Systemic"),"major or systemic; ","")&amp;IF(AND(Y138="",S138&lt;&gt;"",TODAY()&gt;S138),"open past agreed date; ","")&amp;IF(AB138="Yes","authority or NOC linked; ","")&amp;IF(AG138="Yes","repeat of a previous NCR; ","")&amp;IF(AND(Y138="",AE138&gt;=14),"programme impact 14 days or more; ","")&amp;IF(AND(Y138="",AD138&gt;=100000),"cost impact AED 100,000 or more; ","")&amp;IF(AND(Y138&lt;&gt;"",V138=""),"closed with no verification date; ","")&amp;IF(AND(Y138&lt;&gt;"",X138=""),"closed without a closure certificate; ","")&amp;IF(AND(Y138&lt;&gt;"",Z138&gt;90),"closed more than 90 days after raising; ","")))</f>
        <v/>
      </c>
    </row>
    <row r="139">
      <c r="A139" s="10" t="n"/>
      <c r="B139" s="11" t="n"/>
      <c r="C139" s="12" t="n"/>
      <c r="D139" s="12" t="n"/>
      <c r="E139" s="12" t="n"/>
      <c r="F139" s="13" t="n"/>
      <c r="G139" s="13" t="n"/>
      <c r="H139" s="13" t="n"/>
      <c r="I139" s="13" t="n"/>
      <c r="J139" s="13" t="n"/>
      <c r="K139" s="13" t="n"/>
      <c r="L139" s="13" t="n"/>
      <c r="M139" s="11" t="n"/>
      <c r="N139" s="11" t="n"/>
      <c r="O139" s="12" t="n"/>
      <c r="P139" s="13" t="n"/>
      <c r="Q139" s="13" t="n"/>
      <c r="R139" s="13" t="n"/>
      <c r="S139" s="11" t="n"/>
      <c r="T139" s="11" t="n"/>
      <c r="U139" s="13" t="n"/>
      <c r="V139" s="11" t="n"/>
      <c r="W139" s="12" t="n"/>
      <c r="X139" s="12" t="n"/>
      <c r="Y139" s="11" t="n"/>
      <c r="Z139" s="14">
        <f>IF(A139="","",IF(Y139&lt;&gt;"",Y139-B139,TODAY()-B139))</f>
        <v/>
      </c>
      <c r="AA139" s="14">
        <f>IF(A139="","",IF(AND(Y139="",TODAY()&gt;S139),"OVERDUE",IF(AND(Y139&lt;&gt;"",Y139&gt;S139),"CLOSED LATE","")))</f>
        <v/>
      </c>
      <c r="AB139" s="12" t="n"/>
      <c r="AC139" s="13" t="n"/>
      <c r="AD139" s="21" t="n"/>
      <c r="AE139" s="12" t="n"/>
      <c r="AF139" s="14">
        <f>IF(A139="","",IF(Y139&lt;&gt;"","Closed",IF(TODAY()&gt;S139,"Overdue","Open")))</f>
        <v/>
      </c>
      <c r="AG139" s="12" t="n"/>
      <c r="AH139" s="13" t="n"/>
      <c r="AI139" s="12" t="n"/>
      <c r="AJ139" s="14">
        <f>IF(A139="","",IF(OR(C139="Major",C139="Systemic"),4,IF(C139="Minor",1,0))+IF(AND(Y139="",S139&lt;&gt;"",TODAY()&gt;S139),3,0)+IF(AB139="Yes",3,0)+IF(AG139="Yes",2,0)+IF(AND(Y139="",AE139&gt;=14),2,0)+IF(AND(Y139="",AD139&gt;=100000),2,0)+IF(AND(Y139&lt;&gt;"",V139=""),3,0)+IF(AND(Y139&lt;&gt;"",X139=""),2,0)+IF(AND(Y139&lt;&gt;"",Z139&gt;90),1,0))</f>
        <v/>
      </c>
      <c r="AK139" s="14">
        <f>IF(AJ139="","",IF(AJ139&gt;=10,"CRITICAL",IF(AJ139&gt;=6,"HIGH",IF(AJ139&gt;=3,"WATCH","LOW"))))</f>
        <v/>
      </c>
      <c r="AL139" s="20">
        <f>IF(AJ139="","",TRIM(IF(OR(C139="Major",C139="Systemic"),"major or systemic; ","")&amp;IF(AND(Y139="",S139&lt;&gt;"",TODAY()&gt;S139),"open past agreed date; ","")&amp;IF(AB139="Yes","authority or NOC linked; ","")&amp;IF(AG139="Yes","repeat of a previous NCR; ","")&amp;IF(AND(Y139="",AE139&gt;=14),"programme impact 14 days or more; ","")&amp;IF(AND(Y139="",AD139&gt;=100000),"cost impact AED 100,000 or more; ","")&amp;IF(AND(Y139&lt;&gt;"",V139=""),"closed with no verification date; ","")&amp;IF(AND(Y139&lt;&gt;"",X139=""),"closed without a closure certificate; ","")&amp;IF(AND(Y139&lt;&gt;"",Z139&gt;90),"closed more than 90 days after raising; ","")))</f>
        <v/>
      </c>
    </row>
    <row r="140">
      <c r="A140" s="10" t="n"/>
      <c r="B140" s="11" t="n"/>
      <c r="C140" s="12" t="n"/>
      <c r="D140" s="12" t="n"/>
      <c r="E140" s="12" t="n"/>
      <c r="F140" s="13" t="n"/>
      <c r="G140" s="13" t="n"/>
      <c r="H140" s="13" t="n"/>
      <c r="I140" s="13" t="n"/>
      <c r="J140" s="13" t="n"/>
      <c r="K140" s="13" t="n"/>
      <c r="L140" s="13" t="n"/>
      <c r="M140" s="11" t="n"/>
      <c r="N140" s="11" t="n"/>
      <c r="O140" s="12" t="n"/>
      <c r="P140" s="13" t="n"/>
      <c r="Q140" s="13" t="n"/>
      <c r="R140" s="13" t="n"/>
      <c r="S140" s="11" t="n"/>
      <c r="T140" s="11" t="n"/>
      <c r="U140" s="13" t="n"/>
      <c r="V140" s="11" t="n"/>
      <c r="W140" s="12" t="n"/>
      <c r="X140" s="12" t="n"/>
      <c r="Y140" s="11" t="n"/>
      <c r="Z140" s="14">
        <f>IF(A140="","",IF(Y140&lt;&gt;"",Y140-B140,TODAY()-B140))</f>
        <v/>
      </c>
      <c r="AA140" s="14">
        <f>IF(A140="","",IF(AND(Y140="",TODAY()&gt;S140),"OVERDUE",IF(AND(Y140&lt;&gt;"",Y140&gt;S140),"CLOSED LATE","")))</f>
        <v/>
      </c>
      <c r="AB140" s="12" t="n"/>
      <c r="AC140" s="13" t="n"/>
      <c r="AD140" s="21" t="n"/>
      <c r="AE140" s="12" t="n"/>
      <c r="AF140" s="14">
        <f>IF(A140="","",IF(Y140&lt;&gt;"","Closed",IF(TODAY()&gt;S140,"Overdue","Open")))</f>
        <v/>
      </c>
      <c r="AG140" s="12" t="n"/>
      <c r="AH140" s="13" t="n"/>
      <c r="AI140" s="12" t="n"/>
      <c r="AJ140" s="14">
        <f>IF(A140="","",IF(OR(C140="Major",C140="Systemic"),4,IF(C140="Minor",1,0))+IF(AND(Y140="",S140&lt;&gt;"",TODAY()&gt;S140),3,0)+IF(AB140="Yes",3,0)+IF(AG140="Yes",2,0)+IF(AND(Y140="",AE140&gt;=14),2,0)+IF(AND(Y140="",AD140&gt;=100000),2,0)+IF(AND(Y140&lt;&gt;"",V140=""),3,0)+IF(AND(Y140&lt;&gt;"",X140=""),2,0)+IF(AND(Y140&lt;&gt;"",Z140&gt;90),1,0))</f>
        <v/>
      </c>
      <c r="AK140" s="14">
        <f>IF(AJ140="","",IF(AJ140&gt;=10,"CRITICAL",IF(AJ140&gt;=6,"HIGH",IF(AJ140&gt;=3,"WATCH","LOW"))))</f>
        <v/>
      </c>
      <c r="AL140" s="20">
        <f>IF(AJ140="","",TRIM(IF(OR(C140="Major",C140="Systemic"),"major or systemic; ","")&amp;IF(AND(Y140="",S140&lt;&gt;"",TODAY()&gt;S140),"open past agreed date; ","")&amp;IF(AB140="Yes","authority or NOC linked; ","")&amp;IF(AG140="Yes","repeat of a previous NCR; ","")&amp;IF(AND(Y140="",AE140&gt;=14),"programme impact 14 days or more; ","")&amp;IF(AND(Y140="",AD140&gt;=100000),"cost impact AED 100,000 or more; ","")&amp;IF(AND(Y140&lt;&gt;"",V140=""),"closed with no verification date; ","")&amp;IF(AND(Y140&lt;&gt;"",X140=""),"closed without a closure certificate; ","")&amp;IF(AND(Y140&lt;&gt;"",Z140&gt;90),"closed more than 90 days after raising; ","")))</f>
        <v/>
      </c>
    </row>
    <row r="141">
      <c r="A141" s="10" t="n"/>
      <c r="B141" s="11" t="n"/>
      <c r="C141" s="12" t="n"/>
      <c r="D141" s="12" t="n"/>
      <c r="E141" s="12" t="n"/>
      <c r="F141" s="13" t="n"/>
      <c r="G141" s="13" t="n"/>
      <c r="H141" s="13" t="n"/>
      <c r="I141" s="13" t="n"/>
      <c r="J141" s="13" t="n"/>
      <c r="K141" s="13" t="n"/>
      <c r="L141" s="13" t="n"/>
      <c r="M141" s="11" t="n"/>
      <c r="N141" s="11" t="n"/>
      <c r="O141" s="12" t="n"/>
      <c r="P141" s="13" t="n"/>
      <c r="Q141" s="13" t="n"/>
      <c r="R141" s="13" t="n"/>
      <c r="S141" s="11" t="n"/>
      <c r="T141" s="11" t="n"/>
      <c r="U141" s="13" t="n"/>
      <c r="V141" s="11" t="n"/>
      <c r="W141" s="12" t="n"/>
      <c r="X141" s="12" t="n"/>
      <c r="Y141" s="11" t="n"/>
      <c r="Z141" s="14">
        <f>IF(A141="","",IF(Y141&lt;&gt;"",Y141-B141,TODAY()-B141))</f>
        <v/>
      </c>
      <c r="AA141" s="14">
        <f>IF(A141="","",IF(AND(Y141="",TODAY()&gt;S141),"OVERDUE",IF(AND(Y141&lt;&gt;"",Y141&gt;S141),"CLOSED LATE","")))</f>
        <v/>
      </c>
      <c r="AB141" s="12" t="n"/>
      <c r="AC141" s="13" t="n"/>
      <c r="AD141" s="21" t="n"/>
      <c r="AE141" s="12" t="n"/>
      <c r="AF141" s="14">
        <f>IF(A141="","",IF(Y141&lt;&gt;"","Closed",IF(TODAY()&gt;S141,"Overdue","Open")))</f>
        <v/>
      </c>
      <c r="AG141" s="12" t="n"/>
      <c r="AH141" s="13" t="n"/>
      <c r="AI141" s="12" t="n"/>
      <c r="AJ141" s="14">
        <f>IF(A141="","",IF(OR(C141="Major",C141="Systemic"),4,IF(C141="Minor",1,0))+IF(AND(Y141="",S141&lt;&gt;"",TODAY()&gt;S141),3,0)+IF(AB141="Yes",3,0)+IF(AG141="Yes",2,0)+IF(AND(Y141="",AE141&gt;=14),2,0)+IF(AND(Y141="",AD141&gt;=100000),2,0)+IF(AND(Y141&lt;&gt;"",V141=""),3,0)+IF(AND(Y141&lt;&gt;"",X141=""),2,0)+IF(AND(Y141&lt;&gt;"",Z141&gt;90),1,0))</f>
        <v/>
      </c>
      <c r="AK141" s="14">
        <f>IF(AJ141="","",IF(AJ141&gt;=10,"CRITICAL",IF(AJ141&gt;=6,"HIGH",IF(AJ141&gt;=3,"WATCH","LOW"))))</f>
        <v/>
      </c>
      <c r="AL141" s="20">
        <f>IF(AJ141="","",TRIM(IF(OR(C141="Major",C141="Systemic"),"major or systemic; ","")&amp;IF(AND(Y141="",S141&lt;&gt;"",TODAY()&gt;S141),"open past agreed date; ","")&amp;IF(AB141="Yes","authority or NOC linked; ","")&amp;IF(AG141="Yes","repeat of a previous NCR; ","")&amp;IF(AND(Y141="",AE141&gt;=14),"programme impact 14 days or more; ","")&amp;IF(AND(Y141="",AD141&gt;=100000),"cost impact AED 100,000 or more; ","")&amp;IF(AND(Y141&lt;&gt;"",V141=""),"closed with no verification date; ","")&amp;IF(AND(Y141&lt;&gt;"",X141=""),"closed without a closure certificate; ","")&amp;IF(AND(Y141&lt;&gt;"",Z141&gt;90),"closed more than 90 days after raising; ","")))</f>
        <v/>
      </c>
    </row>
    <row r="142">
      <c r="A142" s="10" t="n"/>
      <c r="B142" s="11" t="n"/>
      <c r="C142" s="12" t="n"/>
      <c r="D142" s="12" t="n"/>
      <c r="E142" s="12" t="n"/>
      <c r="F142" s="13" t="n"/>
      <c r="G142" s="13" t="n"/>
      <c r="H142" s="13" t="n"/>
      <c r="I142" s="13" t="n"/>
      <c r="J142" s="13" t="n"/>
      <c r="K142" s="13" t="n"/>
      <c r="L142" s="13" t="n"/>
      <c r="M142" s="11" t="n"/>
      <c r="N142" s="11" t="n"/>
      <c r="O142" s="12" t="n"/>
      <c r="P142" s="13" t="n"/>
      <c r="Q142" s="13" t="n"/>
      <c r="R142" s="13" t="n"/>
      <c r="S142" s="11" t="n"/>
      <c r="T142" s="11" t="n"/>
      <c r="U142" s="13" t="n"/>
      <c r="V142" s="11" t="n"/>
      <c r="W142" s="12" t="n"/>
      <c r="X142" s="12" t="n"/>
      <c r="Y142" s="11" t="n"/>
      <c r="Z142" s="14">
        <f>IF(A142="","",IF(Y142&lt;&gt;"",Y142-B142,TODAY()-B142))</f>
        <v/>
      </c>
      <c r="AA142" s="14">
        <f>IF(A142="","",IF(AND(Y142="",TODAY()&gt;S142),"OVERDUE",IF(AND(Y142&lt;&gt;"",Y142&gt;S142),"CLOSED LATE","")))</f>
        <v/>
      </c>
      <c r="AB142" s="12" t="n"/>
      <c r="AC142" s="13" t="n"/>
      <c r="AD142" s="21" t="n"/>
      <c r="AE142" s="12" t="n"/>
      <c r="AF142" s="14">
        <f>IF(A142="","",IF(Y142&lt;&gt;"","Closed",IF(TODAY()&gt;S142,"Overdue","Open")))</f>
        <v/>
      </c>
      <c r="AG142" s="12" t="n"/>
      <c r="AH142" s="13" t="n"/>
      <c r="AI142" s="12" t="n"/>
      <c r="AJ142" s="14">
        <f>IF(A142="","",IF(OR(C142="Major",C142="Systemic"),4,IF(C142="Minor",1,0))+IF(AND(Y142="",S142&lt;&gt;"",TODAY()&gt;S142),3,0)+IF(AB142="Yes",3,0)+IF(AG142="Yes",2,0)+IF(AND(Y142="",AE142&gt;=14),2,0)+IF(AND(Y142="",AD142&gt;=100000),2,0)+IF(AND(Y142&lt;&gt;"",V142=""),3,0)+IF(AND(Y142&lt;&gt;"",X142=""),2,0)+IF(AND(Y142&lt;&gt;"",Z142&gt;90),1,0))</f>
        <v/>
      </c>
      <c r="AK142" s="14">
        <f>IF(AJ142="","",IF(AJ142&gt;=10,"CRITICAL",IF(AJ142&gt;=6,"HIGH",IF(AJ142&gt;=3,"WATCH","LOW"))))</f>
        <v/>
      </c>
      <c r="AL142" s="20">
        <f>IF(AJ142="","",TRIM(IF(OR(C142="Major",C142="Systemic"),"major or systemic; ","")&amp;IF(AND(Y142="",S142&lt;&gt;"",TODAY()&gt;S142),"open past agreed date; ","")&amp;IF(AB142="Yes","authority or NOC linked; ","")&amp;IF(AG142="Yes","repeat of a previous NCR; ","")&amp;IF(AND(Y142="",AE142&gt;=14),"programme impact 14 days or more; ","")&amp;IF(AND(Y142="",AD142&gt;=100000),"cost impact AED 100,000 or more; ","")&amp;IF(AND(Y142&lt;&gt;"",V142=""),"closed with no verification date; ","")&amp;IF(AND(Y142&lt;&gt;"",X142=""),"closed without a closure certificate; ","")&amp;IF(AND(Y142&lt;&gt;"",Z142&gt;90),"closed more than 90 days after raising; ","")))</f>
        <v/>
      </c>
    </row>
    <row r="143">
      <c r="A143" s="10" t="n"/>
      <c r="B143" s="11" t="n"/>
      <c r="C143" s="12" t="n"/>
      <c r="D143" s="12" t="n"/>
      <c r="E143" s="12" t="n"/>
      <c r="F143" s="13" t="n"/>
      <c r="G143" s="13" t="n"/>
      <c r="H143" s="13" t="n"/>
      <c r="I143" s="13" t="n"/>
      <c r="J143" s="13" t="n"/>
      <c r="K143" s="13" t="n"/>
      <c r="L143" s="13" t="n"/>
      <c r="M143" s="11" t="n"/>
      <c r="N143" s="11" t="n"/>
      <c r="O143" s="12" t="n"/>
      <c r="P143" s="13" t="n"/>
      <c r="Q143" s="13" t="n"/>
      <c r="R143" s="13" t="n"/>
      <c r="S143" s="11" t="n"/>
      <c r="T143" s="11" t="n"/>
      <c r="U143" s="13" t="n"/>
      <c r="V143" s="11" t="n"/>
      <c r="W143" s="12" t="n"/>
      <c r="X143" s="12" t="n"/>
      <c r="Y143" s="11" t="n"/>
      <c r="Z143" s="14">
        <f>IF(A143="","",IF(Y143&lt;&gt;"",Y143-B143,TODAY()-B143))</f>
        <v/>
      </c>
      <c r="AA143" s="14">
        <f>IF(A143="","",IF(AND(Y143="",TODAY()&gt;S143),"OVERDUE",IF(AND(Y143&lt;&gt;"",Y143&gt;S143),"CLOSED LATE","")))</f>
        <v/>
      </c>
      <c r="AB143" s="12" t="n"/>
      <c r="AC143" s="13" t="n"/>
      <c r="AD143" s="21" t="n"/>
      <c r="AE143" s="12" t="n"/>
      <c r="AF143" s="14">
        <f>IF(A143="","",IF(Y143&lt;&gt;"","Closed",IF(TODAY()&gt;S143,"Overdue","Open")))</f>
        <v/>
      </c>
      <c r="AG143" s="12" t="n"/>
      <c r="AH143" s="13" t="n"/>
      <c r="AI143" s="12" t="n"/>
      <c r="AJ143" s="14">
        <f>IF(A143="","",IF(OR(C143="Major",C143="Systemic"),4,IF(C143="Minor",1,0))+IF(AND(Y143="",S143&lt;&gt;"",TODAY()&gt;S143),3,0)+IF(AB143="Yes",3,0)+IF(AG143="Yes",2,0)+IF(AND(Y143="",AE143&gt;=14),2,0)+IF(AND(Y143="",AD143&gt;=100000),2,0)+IF(AND(Y143&lt;&gt;"",V143=""),3,0)+IF(AND(Y143&lt;&gt;"",X143=""),2,0)+IF(AND(Y143&lt;&gt;"",Z143&gt;90),1,0))</f>
        <v/>
      </c>
      <c r="AK143" s="14">
        <f>IF(AJ143="","",IF(AJ143&gt;=10,"CRITICAL",IF(AJ143&gt;=6,"HIGH",IF(AJ143&gt;=3,"WATCH","LOW"))))</f>
        <v/>
      </c>
      <c r="AL143" s="20">
        <f>IF(AJ143="","",TRIM(IF(OR(C143="Major",C143="Systemic"),"major or systemic; ","")&amp;IF(AND(Y143="",S143&lt;&gt;"",TODAY()&gt;S143),"open past agreed date; ","")&amp;IF(AB143="Yes","authority or NOC linked; ","")&amp;IF(AG143="Yes","repeat of a previous NCR; ","")&amp;IF(AND(Y143="",AE143&gt;=14),"programme impact 14 days or more; ","")&amp;IF(AND(Y143="",AD143&gt;=100000),"cost impact AED 100,000 or more; ","")&amp;IF(AND(Y143&lt;&gt;"",V143=""),"closed with no verification date; ","")&amp;IF(AND(Y143&lt;&gt;"",X143=""),"closed without a closure certificate; ","")&amp;IF(AND(Y143&lt;&gt;"",Z143&gt;90),"closed more than 90 days after raising; ","")))</f>
        <v/>
      </c>
    </row>
    <row r="144">
      <c r="A144" s="10" t="n"/>
      <c r="B144" s="11" t="n"/>
      <c r="C144" s="12" t="n"/>
      <c r="D144" s="12" t="n"/>
      <c r="E144" s="12" t="n"/>
      <c r="F144" s="13" t="n"/>
      <c r="G144" s="13" t="n"/>
      <c r="H144" s="13" t="n"/>
      <c r="I144" s="13" t="n"/>
      <c r="J144" s="13" t="n"/>
      <c r="K144" s="13" t="n"/>
      <c r="L144" s="13" t="n"/>
      <c r="M144" s="11" t="n"/>
      <c r="N144" s="11" t="n"/>
      <c r="O144" s="12" t="n"/>
      <c r="P144" s="13" t="n"/>
      <c r="Q144" s="13" t="n"/>
      <c r="R144" s="13" t="n"/>
      <c r="S144" s="11" t="n"/>
      <c r="T144" s="11" t="n"/>
      <c r="U144" s="13" t="n"/>
      <c r="V144" s="11" t="n"/>
      <c r="W144" s="12" t="n"/>
      <c r="X144" s="12" t="n"/>
      <c r="Y144" s="11" t="n"/>
      <c r="Z144" s="14">
        <f>IF(A144="","",IF(Y144&lt;&gt;"",Y144-B144,TODAY()-B144))</f>
        <v/>
      </c>
      <c r="AA144" s="14">
        <f>IF(A144="","",IF(AND(Y144="",TODAY()&gt;S144),"OVERDUE",IF(AND(Y144&lt;&gt;"",Y144&gt;S144),"CLOSED LATE","")))</f>
        <v/>
      </c>
      <c r="AB144" s="12" t="n"/>
      <c r="AC144" s="13" t="n"/>
      <c r="AD144" s="21" t="n"/>
      <c r="AE144" s="12" t="n"/>
      <c r="AF144" s="14">
        <f>IF(A144="","",IF(Y144&lt;&gt;"","Closed",IF(TODAY()&gt;S144,"Overdue","Open")))</f>
        <v/>
      </c>
      <c r="AG144" s="12" t="n"/>
      <c r="AH144" s="13" t="n"/>
      <c r="AI144" s="12" t="n"/>
      <c r="AJ144" s="14">
        <f>IF(A144="","",IF(OR(C144="Major",C144="Systemic"),4,IF(C144="Minor",1,0))+IF(AND(Y144="",S144&lt;&gt;"",TODAY()&gt;S144),3,0)+IF(AB144="Yes",3,0)+IF(AG144="Yes",2,0)+IF(AND(Y144="",AE144&gt;=14),2,0)+IF(AND(Y144="",AD144&gt;=100000),2,0)+IF(AND(Y144&lt;&gt;"",V144=""),3,0)+IF(AND(Y144&lt;&gt;"",X144=""),2,0)+IF(AND(Y144&lt;&gt;"",Z144&gt;90),1,0))</f>
        <v/>
      </c>
      <c r="AK144" s="14">
        <f>IF(AJ144="","",IF(AJ144&gt;=10,"CRITICAL",IF(AJ144&gt;=6,"HIGH",IF(AJ144&gt;=3,"WATCH","LOW"))))</f>
        <v/>
      </c>
      <c r="AL144" s="20">
        <f>IF(AJ144="","",TRIM(IF(OR(C144="Major",C144="Systemic"),"major or systemic; ","")&amp;IF(AND(Y144="",S144&lt;&gt;"",TODAY()&gt;S144),"open past agreed date; ","")&amp;IF(AB144="Yes","authority or NOC linked; ","")&amp;IF(AG144="Yes","repeat of a previous NCR; ","")&amp;IF(AND(Y144="",AE144&gt;=14),"programme impact 14 days or more; ","")&amp;IF(AND(Y144="",AD144&gt;=100000),"cost impact AED 100,000 or more; ","")&amp;IF(AND(Y144&lt;&gt;"",V144=""),"closed with no verification date; ","")&amp;IF(AND(Y144&lt;&gt;"",X144=""),"closed without a closure certificate; ","")&amp;IF(AND(Y144&lt;&gt;"",Z144&gt;90),"closed more than 90 days after raising; ","")))</f>
        <v/>
      </c>
    </row>
    <row r="145">
      <c r="A145" s="10" t="n"/>
      <c r="B145" s="11" t="n"/>
      <c r="C145" s="12" t="n"/>
      <c r="D145" s="12" t="n"/>
      <c r="E145" s="12" t="n"/>
      <c r="F145" s="13" t="n"/>
      <c r="G145" s="13" t="n"/>
      <c r="H145" s="13" t="n"/>
      <c r="I145" s="13" t="n"/>
      <c r="J145" s="13" t="n"/>
      <c r="K145" s="13" t="n"/>
      <c r="L145" s="13" t="n"/>
      <c r="M145" s="11" t="n"/>
      <c r="N145" s="11" t="n"/>
      <c r="O145" s="12" t="n"/>
      <c r="P145" s="13" t="n"/>
      <c r="Q145" s="13" t="n"/>
      <c r="R145" s="13" t="n"/>
      <c r="S145" s="11" t="n"/>
      <c r="T145" s="11" t="n"/>
      <c r="U145" s="13" t="n"/>
      <c r="V145" s="11" t="n"/>
      <c r="W145" s="12" t="n"/>
      <c r="X145" s="12" t="n"/>
      <c r="Y145" s="11" t="n"/>
      <c r="Z145" s="14">
        <f>IF(A145="","",IF(Y145&lt;&gt;"",Y145-B145,TODAY()-B145))</f>
        <v/>
      </c>
      <c r="AA145" s="14">
        <f>IF(A145="","",IF(AND(Y145="",TODAY()&gt;S145),"OVERDUE",IF(AND(Y145&lt;&gt;"",Y145&gt;S145),"CLOSED LATE","")))</f>
        <v/>
      </c>
      <c r="AB145" s="12" t="n"/>
      <c r="AC145" s="13" t="n"/>
      <c r="AD145" s="21" t="n"/>
      <c r="AE145" s="12" t="n"/>
      <c r="AF145" s="14">
        <f>IF(A145="","",IF(Y145&lt;&gt;"","Closed",IF(TODAY()&gt;S145,"Overdue","Open")))</f>
        <v/>
      </c>
      <c r="AG145" s="12" t="n"/>
      <c r="AH145" s="13" t="n"/>
      <c r="AI145" s="12" t="n"/>
      <c r="AJ145" s="14">
        <f>IF(A145="","",IF(OR(C145="Major",C145="Systemic"),4,IF(C145="Minor",1,0))+IF(AND(Y145="",S145&lt;&gt;"",TODAY()&gt;S145),3,0)+IF(AB145="Yes",3,0)+IF(AG145="Yes",2,0)+IF(AND(Y145="",AE145&gt;=14),2,0)+IF(AND(Y145="",AD145&gt;=100000),2,0)+IF(AND(Y145&lt;&gt;"",V145=""),3,0)+IF(AND(Y145&lt;&gt;"",X145=""),2,0)+IF(AND(Y145&lt;&gt;"",Z145&gt;90),1,0))</f>
        <v/>
      </c>
      <c r="AK145" s="14">
        <f>IF(AJ145="","",IF(AJ145&gt;=10,"CRITICAL",IF(AJ145&gt;=6,"HIGH",IF(AJ145&gt;=3,"WATCH","LOW"))))</f>
        <v/>
      </c>
      <c r="AL145" s="20">
        <f>IF(AJ145="","",TRIM(IF(OR(C145="Major",C145="Systemic"),"major or systemic; ","")&amp;IF(AND(Y145="",S145&lt;&gt;"",TODAY()&gt;S145),"open past agreed date; ","")&amp;IF(AB145="Yes","authority or NOC linked; ","")&amp;IF(AG145="Yes","repeat of a previous NCR; ","")&amp;IF(AND(Y145="",AE145&gt;=14),"programme impact 14 days or more; ","")&amp;IF(AND(Y145="",AD145&gt;=100000),"cost impact AED 100,000 or more; ","")&amp;IF(AND(Y145&lt;&gt;"",V145=""),"closed with no verification date; ","")&amp;IF(AND(Y145&lt;&gt;"",X145=""),"closed without a closure certificate; ","")&amp;IF(AND(Y145&lt;&gt;"",Z145&gt;90),"closed more than 90 days after raising; ","")))</f>
        <v/>
      </c>
    </row>
    <row r="146">
      <c r="A146" s="10" t="n"/>
      <c r="B146" s="11" t="n"/>
      <c r="C146" s="12" t="n"/>
      <c r="D146" s="12" t="n"/>
      <c r="E146" s="12" t="n"/>
      <c r="F146" s="13" t="n"/>
      <c r="G146" s="13" t="n"/>
      <c r="H146" s="13" t="n"/>
      <c r="I146" s="13" t="n"/>
      <c r="J146" s="13" t="n"/>
      <c r="K146" s="13" t="n"/>
      <c r="L146" s="13" t="n"/>
      <c r="M146" s="11" t="n"/>
      <c r="N146" s="11" t="n"/>
      <c r="O146" s="12" t="n"/>
      <c r="P146" s="13" t="n"/>
      <c r="Q146" s="13" t="n"/>
      <c r="R146" s="13" t="n"/>
      <c r="S146" s="11" t="n"/>
      <c r="T146" s="11" t="n"/>
      <c r="U146" s="13" t="n"/>
      <c r="V146" s="11" t="n"/>
      <c r="W146" s="12" t="n"/>
      <c r="X146" s="12" t="n"/>
      <c r="Y146" s="11" t="n"/>
      <c r="Z146" s="14">
        <f>IF(A146="","",IF(Y146&lt;&gt;"",Y146-B146,TODAY()-B146))</f>
        <v/>
      </c>
      <c r="AA146" s="14">
        <f>IF(A146="","",IF(AND(Y146="",TODAY()&gt;S146),"OVERDUE",IF(AND(Y146&lt;&gt;"",Y146&gt;S146),"CLOSED LATE","")))</f>
        <v/>
      </c>
      <c r="AB146" s="12" t="n"/>
      <c r="AC146" s="13" t="n"/>
      <c r="AD146" s="21" t="n"/>
      <c r="AE146" s="12" t="n"/>
      <c r="AF146" s="14">
        <f>IF(A146="","",IF(Y146&lt;&gt;"","Closed",IF(TODAY()&gt;S146,"Overdue","Open")))</f>
        <v/>
      </c>
      <c r="AG146" s="12" t="n"/>
      <c r="AH146" s="13" t="n"/>
      <c r="AI146" s="12" t="n"/>
      <c r="AJ146" s="14">
        <f>IF(A146="","",IF(OR(C146="Major",C146="Systemic"),4,IF(C146="Minor",1,0))+IF(AND(Y146="",S146&lt;&gt;"",TODAY()&gt;S146),3,0)+IF(AB146="Yes",3,0)+IF(AG146="Yes",2,0)+IF(AND(Y146="",AE146&gt;=14),2,0)+IF(AND(Y146="",AD146&gt;=100000),2,0)+IF(AND(Y146&lt;&gt;"",V146=""),3,0)+IF(AND(Y146&lt;&gt;"",X146=""),2,0)+IF(AND(Y146&lt;&gt;"",Z146&gt;90),1,0))</f>
        <v/>
      </c>
      <c r="AK146" s="14">
        <f>IF(AJ146="","",IF(AJ146&gt;=10,"CRITICAL",IF(AJ146&gt;=6,"HIGH",IF(AJ146&gt;=3,"WATCH","LOW"))))</f>
        <v/>
      </c>
      <c r="AL146" s="20">
        <f>IF(AJ146="","",TRIM(IF(OR(C146="Major",C146="Systemic"),"major or systemic; ","")&amp;IF(AND(Y146="",S146&lt;&gt;"",TODAY()&gt;S146),"open past agreed date; ","")&amp;IF(AB146="Yes","authority or NOC linked; ","")&amp;IF(AG146="Yes","repeat of a previous NCR; ","")&amp;IF(AND(Y146="",AE146&gt;=14),"programme impact 14 days or more; ","")&amp;IF(AND(Y146="",AD146&gt;=100000),"cost impact AED 100,000 or more; ","")&amp;IF(AND(Y146&lt;&gt;"",V146=""),"closed with no verification date; ","")&amp;IF(AND(Y146&lt;&gt;"",X146=""),"closed without a closure certificate; ","")&amp;IF(AND(Y146&lt;&gt;"",Z146&gt;90),"closed more than 90 days after raising; ","")))</f>
        <v/>
      </c>
    </row>
    <row r="147">
      <c r="A147" s="10" t="n"/>
      <c r="B147" s="11" t="n"/>
      <c r="C147" s="12" t="n"/>
      <c r="D147" s="12" t="n"/>
      <c r="E147" s="12" t="n"/>
      <c r="F147" s="13" t="n"/>
      <c r="G147" s="13" t="n"/>
      <c r="H147" s="13" t="n"/>
      <c r="I147" s="13" t="n"/>
      <c r="J147" s="13" t="n"/>
      <c r="K147" s="13" t="n"/>
      <c r="L147" s="13" t="n"/>
      <c r="M147" s="11" t="n"/>
      <c r="N147" s="11" t="n"/>
      <c r="O147" s="12" t="n"/>
      <c r="P147" s="13" t="n"/>
      <c r="Q147" s="13" t="n"/>
      <c r="R147" s="13" t="n"/>
      <c r="S147" s="11" t="n"/>
      <c r="T147" s="11" t="n"/>
      <c r="U147" s="13" t="n"/>
      <c r="V147" s="11" t="n"/>
      <c r="W147" s="12" t="n"/>
      <c r="X147" s="12" t="n"/>
      <c r="Y147" s="11" t="n"/>
      <c r="Z147" s="14">
        <f>IF(A147="","",IF(Y147&lt;&gt;"",Y147-B147,TODAY()-B147))</f>
        <v/>
      </c>
      <c r="AA147" s="14">
        <f>IF(A147="","",IF(AND(Y147="",TODAY()&gt;S147),"OVERDUE",IF(AND(Y147&lt;&gt;"",Y147&gt;S147),"CLOSED LATE","")))</f>
        <v/>
      </c>
      <c r="AB147" s="12" t="n"/>
      <c r="AC147" s="13" t="n"/>
      <c r="AD147" s="21" t="n"/>
      <c r="AE147" s="12" t="n"/>
      <c r="AF147" s="14">
        <f>IF(A147="","",IF(Y147&lt;&gt;"","Closed",IF(TODAY()&gt;S147,"Overdue","Open")))</f>
        <v/>
      </c>
      <c r="AG147" s="12" t="n"/>
      <c r="AH147" s="13" t="n"/>
      <c r="AI147" s="12" t="n"/>
      <c r="AJ147" s="14">
        <f>IF(A147="","",IF(OR(C147="Major",C147="Systemic"),4,IF(C147="Minor",1,0))+IF(AND(Y147="",S147&lt;&gt;"",TODAY()&gt;S147),3,0)+IF(AB147="Yes",3,0)+IF(AG147="Yes",2,0)+IF(AND(Y147="",AE147&gt;=14),2,0)+IF(AND(Y147="",AD147&gt;=100000),2,0)+IF(AND(Y147&lt;&gt;"",V147=""),3,0)+IF(AND(Y147&lt;&gt;"",X147=""),2,0)+IF(AND(Y147&lt;&gt;"",Z147&gt;90),1,0))</f>
        <v/>
      </c>
      <c r="AK147" s="14">
        <f>IF(AJ147="","",IF(AJ147&gt;=10,"CRITICAL",IF(AJ147&gt;=6,"HIGH",IF(AJ147&gt;=3,"WATCH","LOW"))))</f>
        <v/>
      </c>
      <c r="AL147" s="20">
        <f>IF(AJ147="","",TRIM(IF(OR(C147="Major",C147="Systemic"),"major or systemic; ","")&amp;IF(AND(Y147="",S147&lt;&gt;"",TODAY()&gt;S147),"open past agreed date; ","")&amp;IF(AB147="Yes","authority or NOC linked; ","")&amp;IF(AG147="Yes","repeat of a previous NCR; ","")&amp;IF(AND(Y147="",AE147&gt;=14),"programme impact 14 days or more; ","")&amp;IF(AND(Y147="",AD147&gt;=100000),"cost impact AED 100,000 or more; ","")&amp;IF(AND(Y147&lt;&gt;"",V147=""),"closed with no verification date; ","")&amp;IF(AND(Y147&lt;&gt;"",X147=""),"closed without a closure certificate; ","")&amp;IF(AND(Y147&lt;&gt;"",Z147&gt;90),"closed more than 90 days after raising; ","")))</f>
        <v/>
      </c>
    </row>
    <row r="148">
      <c r="A148" s="10" t="n"/>
      <c r="B148" s="11" t="n"/>
      <c r="C148" s="12" t="n"/>
      <c r="D148" s="12" t="n"/>
      <c r="E148" s="12" t="n"/>
      <c r="F148" s="13" t="n"/>
      <c r="G148" s="13" t="n"/>
      <c r="H148" s="13" t="n"/>
      <c r="I148" s="13" t="n"/>
      <c r="J148" s="13" t="n"/>
      <c r="K148" s="13" t="n"/>
      <c r="L148" s="13" t="n"/>
      <c r="M148" s="11" t="n"/>
      <c r="N148" s="11" t="n"/>
      <c r="O148" s="12" t="n"/>
      <c r="P148" s="13" t="n"/>
      <c r="Q148" s="13" t="n"/>
      <c r="R148" s="13" t="n"/>
      <c r="S148" s="11" t="n"/>
      <c r="T148" s="11" t="n"/>
      <c r="U148" s="13" t="n"/>
      <c r="V148" s="11" t="n"/>
      <c r="W148" s="12" t="n"/>
      <c r="X148" s="12" t="n"/>
      <c r="Y148" s="11" t="n"/>
      <c r="Z148" s="14">
        <f>IF(A148="","",IF(Y148&lt;&gt;"",Y148-B148,TODAY()-B148))</f>
        <v/>
      </c>
      <c r="AA148" s="14">
        <f>IF(A148="","",IF(AND(Y148="",TODAY()&gt;S148),"OVERDUE",IF(AND(Y148&lt;&gt;"",Y148&gt;S148),"CLOSED LATE","")))</f>
        <v/>
      </c>
      <c r="AB148" s="12" t="n"/>
      <c r="AC148" s="13" t="n"/>
      <c r="AD148" s="21" t="n"/>
      <c r="AE148" s="12" t="n"/>
      <c r="AF148" s="14">
        <f>IF(A148="","",IF(Y148&lt;&gt;"","Closed",IF(TODAY()&gt;S148,"Overdue","Open")))</f>
        <v/>
      </c>
      <c r="AG148" s="12" t="n"/>
      <c r="AH148" s="13" t="n"/>
      <c r="AI148" s="12" t="n"/>
      <c r="AJ148" s="14">
        <f>IF(A148="","",IF(OR(C148="Major",C148="Systemic"),4,IF(C148="Minor",1,0))+IF(AND(Y148="",S148&lt;&gt;"",TODAY()&gt;S148),3,0)+IF(AB148="Yes",3,0)+IF(AG148="Yes",2,0)+IF(AND(Y148="",AE148&gt;=14),2,0)+IF(AND(Y148="",AD148&gt;=100000),2,0)+IF(AND(Y148&lt;&gt;"",V148=""),3,0)+IF(AND(Y148&lt;&gt;"",X148=""),2,0)+IF(AND(Y148&lt;&gt;"",Z148&gt;90),1,0))</f>
        <v/>
      </c>
      <c r="AK148" s="14">
        <f>IF(AJ148="","",IF(AJ148&gt;=10,"CRITICAL",IF(AJ148&gt;=6,"HIGH",IF(AJ148&gt;=3,"WATCH","LOW"))))</f>
        <v/>
      </c>
      <c r="AL148" s="20">
        <f>IF(AJ148="","",TRIM(IF(OR(C148="Major",C148="Systemic"),"major or systemic; ","")&amp;IF(AND(Y148="",S148&lt;&gt;"",TODAY()&gt;S148),"open past agreed date; ","")&amp;IF(AB148="Yes","authority or NOC linked; ","")&amp;IF(AG148="Yes","repeat of a previous NCR; ","")&amp;IF(AND(Y148="",AE148&gt;=14),"programme impact 14 days or more; ","")&amp;IF(AND(Y148="",AD148&gt;=100000),"cost impact AED 100,000 or more; ","")&amp;IF(AND(Y148&lt;&gt;"",V148=""),"closed with no verification date; ","")&amp;IF(AND(Y148&lt;&gt;"",X148=""),"closed without a closure certificate; ","")&amp;IF(AND(Y148&lt;&gt;"",Z148&gt;90),"closed more than 90 days after raising; ","")))</f>
        <v/>
      </c>
    </row>
    <row r="149">
      <c r="A149" s="10" t="n"/>
      <c r="B149" s="11" t="n"/>
      <c r="C149" s="12" t="n"/>
      <c r="D149" s="12" t="n"/>
      <c r="E149" s="12" t="n"/>
      <c r="F149" s="13" t="n"/>
      <c r="G149" s="13" t="n"/>
      <c r="H149" s="13" t="n"/>
      <c r="I149" s="13" t="n"/>
      <c r="J149" s="13" t="n"/>
      <c r="K149" s="13" t="n"/>
      <c r="L149" s="13" t="n"/>
      <c r="M149" s="11" t="n"/>
      <c r="N149" s="11" t="n"/>
      <c r="O149" s="12" t="n"/>
      <c r="P149" s="13" t="n"/>
      <c r="Q149" s="13" t="n"/>
      <c r="R149" s="13" t="n"/>
      <c r="S149" s="11" t="n"/>
      <c r="T149" s="11" t="n"/>
      <c r="U149" s="13" t="n"/>
      <c r="V149" s="11" t="n"/>
      <c r="W149" s="12" t="n"/>
      <c r="X149" s="12" t="n"/>
      <c r="Y149" s="11" t="n"/>
      <c r="Z149" s="14">
        <f>IF(A149="","",IF(Y149&lt;&gt;"",Y149-B149,TODAY()-B149))</f>
        <v/>
      </c>
      <c r="AA149" s="14">
        <f>IF(A149="","",IF(AND(Y149="",TODAY()&gt;S149),"OVERDUE",IF(AND(Y149&lt;&gt;"",Y149&gt;S149),"CLOSED LATE","")))</f>
        <v/>
      </c>
      <c r="AB149" s="12" t="n"/>
      <c r="AC149" s="13" t="n"/>
      <c r="AD149" s="21" t="n"/>
      <c r="AE149" s="12" t="n"/>
      <c r="AF149" s="14">
        <f>IF(A149="","",IF(Y149&lt;&gt;"","Closed",IF(TODAY()&gt;S149,"Overdue","Open")))</f>
        <v/>
      </c>
      <c r="AG149" s="12" t="n"/>
      <c r="AH149" s="13" t="n"/>
      <c r="AI149" s="12" t="n"/>
      <c r="AJ149" s="14">
        <f>IF(A149="","",IF(OR(C149="Major",C149="Systemic"),4,IF(C149="Minor",1,0))+IF(AND(Y149="",S149&lt;&gt;"",TODAY()&gt;S149),3,0)+IF(AB149="Yes",3,0)+IF(AG149="Yes",2,0)+IF(AND(Y149="",AE149&gt;=14),2,0)+IF(AND(Y149="",AD149&gt;=100000),2,0)+IF(AND(Y149&lt;&gt;"",V149=""),3,0)+IF(AND(Y149&lt;&gt;"",X149=""),2,0)+IF(AND(Y149&lt;&gt;"",Z149&gt;90),1,0))</f>
        <v/>
      </c>
      <c r="AK149" s="14">
        <f>IF(AJ149="","",IF(AJ149&gt;=10,"CRITICAL",IF(AJ149&gt;=6,"HIGH",IF(AJ149&gt;=3,"WATCH","LOW"))))</f>
        <v/>
      </c>
      <c r="AL149" s="20">
        <f>IF(AJ149="","",TRIM(IF(OR(C149="Major",C149="Systemic"),"major or systemic; ","")&amp;IF(AND(Y149="",S149&lt;&gt;"",TODAY()&gt;S149),"open past agreed date; ","")&amp;IF(AB149="Yes","authority or NOC linked; ","")&amp;IF(AG149="Yes","repeat of a previous NCR; ","")&amp;IF(AND(Y149="",AE149&gt;=14),"programme impact 14 days or more; ","")&amp;IF(AND(Y149="",AD149&gt;=100000),"cost impact AED 100,000 or more; ","")&amp;IF(AND(Y149&lt;&gt;"",V149=""),"closed with no verification date; ","")&amp;IF(AND(Y149&lt;&gt;"",X149=""),"closed without a closure certificate; ","")&amp;IF(AND(Y149&lt;&gt;"",Z149&gt;90),"closed more than 90 days after raising; ","")))</f>
        <v/>
      </c>
    </row>
    <row r="150">
      <c r="A150" s="10" t="n"/>
      <c r="B150" s="11" t="n"/>
      <c r="C150" s="12" t="n"/>
      <c r="D150" s="12" t="n"/>
      <c r="E150" s="12" t="n"/>
      <c r="F150" s="13" t="n"/>
      <c r="G150" s="13" t="n"/>
      <c r="H150" s="13" t="n"/>
      <c r="I150" s="13" t="n"/>
      <c r="J150" s="13" t="n"/>
      <c r="K150" s="13" t="n"/>
      <c r="L150" s="13" t="n"/>
      <c r="M150" s="11" t="n"/>
      <c r="N150" s="11" t="n"/>
      <c r="O150" s="12" t="n"/>
      <c r="P150" s="13" t="n"/>
      <c r="Q150" s="13" t="n"/>
      <c r="R150" s="13" t="n"/>
      <c r="S150" s="11" t="n"/>
      <c r="T150" s="11" t="n"/>
      <c r="U150" s="13" t="n"/>
      <c r="V150" s="11" t="n"/>
      <c r="W150" s="12" t="n"/>
      <c r="X150" s="12" t="n"/>
      <c r="Y150" s="11" t="n"/>
      <c r="Z150" s="14">
        <f>IF(A150="","",IF(Y150&lt;&gt;"",Y150-B150,TODAY()-B150))</f>
        <v/>
      </c>
      <c r="AA150" s="14">
        <f>IF(A150="","",IF(AND(Y150="",TODAY()&gt;S150),"OVERDUE",IF(AND(Y150&lt;&gt;"",Y150&gt;S150),"CLOSED LATE","")))</f>
        <v/>
      </c>
      <c r="AB150" s="12" t="n"/>
      <c r="AC150" s="13" t="n"/>
      <c r="AD150" s="21" t="n"/>
      <c r="AE150" s="12" t="n"/>
      <c r="AF150" s="14">
        <f>IF(A150="","",IF(Y150&lt;&gt;"","Closed",IF(TODAY()&gt;S150,"Overdue","Open")))</f>
        <v/>
      </c>
      <c r="AG150" s="12" t="n"/>
      <c r="AH150" s="13" t="n"/>
      <c r="AI150" s="12" t="n"/>
      <c r="AJ150" s="14">
        <f>IF(A150="","",IF(OR(C150="Major",C150="Systemic"),4,IF(C150="Minor",1,0))+IF(AND(Y150="",S150&lt;&gt;"",TODAY()&gt;S150),3,0)+IF(AB150="Yes",3,0)+IF(AG150="Yes",2,0)+IF(AND(Y150="",AE150&gt;=14),2,0)+IF(AND(Y150="",AD150&gt;=100000),2,0)+IF(AND(Y150&lt;&gt;"",V150=""),3,0)+IF(AND(Y150&lt;&gt;"",X150=""),2,0)+IF(AND(Y150&lt;&gt;"",Z150&gt;90),1,0))</f>
        <v/>
      </c>
      <c r="AK150" s="14">
        <f>IF(AJ150="","",IF(AJ150&gt;=10,"CRITICAL",IF(AJ150&gt;=6,"HIGH",IF(AJ150&gt;=3,"WATCH","LOW"))))</f>
        <v/>
      </c>
      <c r="AL150" s="20">
        <f>IF(AJ150="","",TRIM(IF(OR(C150="Major",C150="Systemic"),"major or systemic; ","")&amp;IF(AND(Y150="",S150&lt;&gt;"",TODAY()&gt;S150),"open past agreed date; ","")&amp;IF(AB150="Yes","authority or NOC linked; ","")&amp;IF(AG150="Yes","repeat of a previous NCR; ","")&amp;IF(AND(Y150="",AE150&gt;=14),"programme impact 14 days or more; ","")&amp;IF(AND(Y150="",AD150&gt;=100000),"cost impact AED 100,000 or more; ","")&amp;IF(AND(Y150&lt;&gt;"",V150=""),"closed with no verification date; ","")&amp;IF(AND(Y150&lt;&gt;"",X150=""),"closed without a closure certificate; ","")&amp;IF(AND(Y150&lt;&gt;"",Z150&gt;90),"closed more than 90 days after raising; ","")))</f>
        <v/>
      </c>
    </row>
    <row r="151">
      <c r="A151" s="10" t="n"/>
      <c r="B151" s="11" t="n"/>
      <c r="C151" s="12" t="n"/>
      <c r="D151" s="12" t="n"/>
      <c r="E151" s="12" t="n"/>
      <c r="F151" s="13" t="n"/>
      <c r="G151" s="13" t="n"/>
      <c r="H151" s="13" t="n"/>
      <c r="I151" s="13" t="n"/>
      <c r="J151" s="13" t="n"/>
      <c r="K151" s="13" t="n"/>
      <c r="L151" s="13" t="n"/>
      <c r="M151" s="11" t="n"/>
      <c r="N151" s="11" t="n"/>
      <c r="O151" s="12" t="n"/>
      <c r="P151" s="13" t="n"/>
      <c r="Q151" s="13" t="n"/>
      <c r="R151" s="13" t="n"/>
      <c r="S151" s="11" t="n"/>
      <c r="T151" s="11" t="n"/>
      <c r="U151" s="13" t="n"/>
      <c r="V151" s="11" t="n"/>
      <c r="W151" s="12" t="n"/>
      <c r="X151" s="12" t="n"/>
      <c r="Y151" s="11" t="n"/>
      <c r="Z151" s="14">
        <f>IF(A151="","",IF(Y151&lt;&gt;"",Y151-B151,TODAY()-B151))</f>
        <v/>
      </c>
      <c r="AA151" s="14">
        <f>IF(A151="","",IF(AND(Y151="",TODAY()&gt;S151),"OVERDUE",IF(AND(Y151&lt;&gt;"",Y151&gt;S151),"CLOSED LATE","")))</f>
        <v/>
      </c>
      <c r="AB151" s="12" t="n"/>
      <c r="AC151" s="13" t="n"/>
      <c r="AD151" s="21" t="n"/>
      <c r="AE151" s="12" t="n"/>
      <c r="AF151" s="14">
        <f>IF(A151="","",IF(Y151&lt;&gt;"","Closed",IF(TODAY()&gt;S151,"Overdue","Open")))</f>
        <v/>
      </c>
      <c r="AG151" s="12" t="n"/>
      <c r="AH151" s="13" t="n"/>
      <c r="AI151" s="12" t="n"/>
      <c r="AJ151" s="14">
        <f>IF(A151="","",IF(OR(C151="Major",C151="Systemic"),4,IF(C151="Minor",1,0))+IF(AND(Y151="",S151&lt;&gt;"",TODAY()&gt;S151),3,0)+IF(AB151="Yes",3,0)+IF(AG151="Yes",2,0)+IF(AND(Y151="",AE151&gt;=14),2,0)+IF(AND(Y151="",AD151&gt;=100000),2,0)+IF(AND(Y151&lt;&gt;"",V151=""),3,0)+IF(AND(Y151&lt;&gt;"",X151=""),2,0)+IF(AND(Y151&lt;&gt;"",Z151&gt;90),1,0))</f>
        <v/>
      </c>
      <c r="AK151" s="14">
        <f>IF(AJ151="","",IF(AJ151&gt;=10,"CRITICAL",IF(AJ151&gt;=6,"HIGH",IF(AJ151&gt;=3,"WATCH","LOW"))))</f>
        <v/>
      </c>
      <c r="AL151" s="20">
        <f>IF(AJ151="","",TRIM(IF(OR(C151="Major",C151="Systemic"),"major or systemic; ","")&amp;IF(AND(Y151="",S151&lt;&gt;"",TODAY()&gt;S151),"open past agreed date; ","")&amp;IF(AB151="Yes","authority or NOC linked; ","")&amp;IF(AG151="Yes","repeat of a previous NCR; ","")&amp;IF(AND(Y151="",AE151&gt;=14),"programme impact 14 days or more; ","")&amp;IF(AND(Y151="",AD151&gt;=100000),"cost impact AED 100,000 or more; ","")&amp;IF(AND(Y151&lt;&gt;"",V151=""),"closed with no verification date; ","")&amp;IF(AND(Y151&lt;&gt;"",X151=""),"closed without a closure certificate; ","")&amp;IF(AND(Y151&lt;&gt;"",Z151&gt;90),"closed more than 90 days after raising; ","")))</f>
        <v/>
      </c>
    </row>
    <row r="152">
      <c r="A152" s="10" t="n"/>
      <c r="B152" s="11" t="n"/>
      <c r="C152" s="12" t="n"/>
      <c r="D152" s="12" t="n"/>
      <c r="E152" s="12" t="n"/>
      <c r="F152" s="13" t="n"/>
      <c r="G152" s="13" t="n"/>
      <c r="H152" s="13" t="n"/>
      <c r="I152" s="13" t="n"/>
      <c r="J152" s="13" t="n"/>
      <c r="K152" s="13" t="n"/>
      <c r="L152" s="13" t="n"/>
      <c r="M152" s="11" t="n"/>
      <c r="N152" s="11" t="n"/>
      <c r="O152" s="12" t="n"/>
      <c r="P152" s="13" t="n"/>
      <c r="Q152" s="13" t="n"/>
      <c r="R152" s="13" t="n"/>
      <c r="S152" s="11" t="n"/>
      <c r="T152" s="11" t="n"/>
      <c r="U152" s="13" t="n"/>
      <c r="V152" s="11" t="n"/>
      <c r="W152" s="12" t="n"/>
      <c r="X152" s="12" t="n"/>
      <c r="Y152" s="11" t="n"/>
      <c r="Z152" s="14">
        <f>IF(A152="","",IF(Y152&lt;&gt;"",Y152-B152,TODAY()-B152))</f>
        <v/>
      </c>
      <c r="AA152" s="14">
        <f>IF(A152="","",IF(AND(Y152="",TODAY()&gt;S152),"OVERDUE",IF(AND(Y152&lt;&gt;"",Y152&gt;S152),"CLOSED LATE","")))</f>
        <v/>
      </c>
      <c r="AB152" s="12" t="n"/>
      <c r="AC152" s="13" t="n"/>
      <c r="AD152" s="21" t="n"/>
      <c r="AE152" s="12" t="n"/>
      <c r="AF152" s="14">
        <f>IF(A152="","",IF(Y152&lt;&gt;"","Closed",IF(TODAY()&gt;S152,"Overdue","Open")))</f>
        <v/>
      </c>
      <c r="AG152" s="12" t="n"/>
      <c r="AH152" s="13" t="n"/>
      <c r="AI152" s="12" t="n"/>
      <c r="AJ152" s="14">
        <f>IF(A152="","",IF(OR(C152="Major",C152="Systemic"),4,IF(C152="Minor",1,0))+IF(AND(Y152="",S152&lt;&gt;"",TODAY()&gt;S152),3,0)+IF(AB152="Yes",3,0)+IF(AG152="Yes",2,0)+IF(AND(Y152="",AE152&gt;=14),2,0)+IF(AND(Y152="",AD152&gt;=100000),2,0)+IF(AND(Y152&lt;&gt;"",V152=""),3,0)+IF(AND(Y152&lt;&gt;"",X152=""),2,0)+IF(AND(Y152&lt;&gt;"",Z152&gt;90),1,0))</f>
        <v/>
      </c>
      <c r="AK152" s="14">
        <f>IF(AJ152="","",IF(AJ152&gt;=10,"CRITICAL",IF(AJ152&gt;=6,"HIGH",IF(AJ152&gt;=3,"WATCH","LOW"))))</f>
        <v/>
      </c>
      <c r="AL152" s="20">
        <f>IF(AJ152="","",TRIM(IF(OR(C152="Major",C152="Systemic"),"major or systemic; ","")&amp;IF(AND(Y152="",S152&lt;&gt;"",TODAY()&gt;S152),"open past agreed date; ","")&amp;IF(AB152="Yes","authority or NOC linked; ","")&amp;IF(AG152="Yes","repeat of a previous NCR; ","")&amp;IF(AND(Y152="",AE152&gt;=14),"programme impact 14 days or more; ","")&amp;IF(AND(Y152="",AD152&gt;=100000),"cost impact AED 100,000 or more; ","")&amp;IF(AND(Y152&lt;&gt;"",V152=""),"closed with no verification date; ","")&amp;IF(AND(Y152&lt;&gt;"",X152=""),"closed without a closure certificate; ","")&amp;IF(AND(Y152&lt;&gt;"",Z152&gt;90),"closed more than 90 days after raising; ","")))</f>
        <v/>
      </c>
    </row>
    <row r="153">
      <c r="A153" s="10" t="n"/>
      <c r="B153" s="11" t="n"/>
      <c r="C153" s="12" t="n"/>
      <c r="D153" s="12" t="n"/>
      <c r="E153" s="12" t="n"/>
      <c r="F153" s="13" t="n"/>
      <c r="G153" s="13" t="n"/>
      <c r="H153" s="13" t="n"/>
      <c r="I153" s="13" t="n"/>
      <c r="J153" s="13" t="n"/>
      <c r="K153" s="13" t="n"/>
      <c r="L153" s="13" t="n"/>
      <c r="M153" s="11" t="n"/>
      <c r="N153" s="11" t="n"/>
      <c r="O153" s="12" t="n"/>
      <c r="P153" s="13" t="n"/>
      <c r="Q153" s="13" t="n"/>
      <c r="R153" s="13" t="n"/>
      <c r="S153" s="11" t="n"/>
      <c r="T153" s="11" t="n"/>
      <c r="U153" s="13" t="n"/>
      <c r="V153" s="11" t="n"/>
      <c r="W153" s="12" t="n"/>
      <c r="X153" s="12" t="n"/>
      <c r="Y153" s="11" t="n"/>
      <c r="Z153" s="14">
        <f>IF(A153="","",IF(Y153&lt;&gt;"",Y153-B153,TODAY()-B153))</f>
        <v/>
      </c>
      <c r="AA153" s="14">
        <f>IF(A153="","",IF(AND(Y153="",TODAY()&gt;S153),"OVERDUE",IF(AND(Y153&lt;&gt;"",Y153&gt;S153),"CLOSED LATE","")))</f>
        <v/>
      </c>
      <c r="AB153" s="12" t="n"/>
      <c r="AC153" s="13" t="n"/>
      <c r="AD153" s="21" t="n"/>
      <c r="AE153" s="12" t="n"/>
      <c r="AF153" s="14">
        <f>IF(A153="","",IF(Y153&lt;&gt;"","Closed",IF(TODAY()&gt;S153,"Overdue","Open")))</f>
        <v/>
      </c>
      <c r="AG153" s="12" t="n"/>
      <c r="AH153" s="13" t="n"/>
      <c r="AI153" s="12" t="n"/>
      <c r="AJ153" s="14">
        <f>IF(A153="","",IF(OR(C153="Major",C153="Systemic"),4,IF(C153="Minor",1,0))+IF(AND(Y153="",S153&lt;&gt;"",TODAY()&gt;S153),3,0)+IF(AB153="Yes",3,0)+IF(AG153="Yes",2,0)+IF(AND(Y153="",AE153&gt;=14),2,0)+IF(AND(Y153="",AD153&gt;=100000),2,0)+IF(AND(Y153&lt;&gt;"",V153=""),3,0)+IF(AND(Y153&lt;&gt;"",X153=""),2,0)+IF(AND(Y153&lt;&gt;"",Z153&gt;90),1,0))</f>
        <v/>
      </c>
      <c r="AK153" s="14">
        <f>IF(AJ153="","",IF(AJ153&gt;=10,"CRITICAL",IF(AJ153&gt;=6,"HIGH",IF(AJ153&gt;=3,"WATCH","LOW"))))</f>
        <v/>
      </c>
      <c r="AL153" s="20">
        <f>IF(AJ153="","",TRIM(IF(OR(C153="Major",C153="Systemic"),"major or systemic; ","")&amp;IF(AND(Y153="",S153&lt;&gt;"",TODAY()&gt;S153),"open past agreed date; ","")&amp;IF(AB153="Yes","authority or NOC linked; ","")&amp;IF(AG153="Yes","repeat of a previous NCR; ","")&amp;IF(AND(Y153="",AE153&gt;=14),"programme impact 14 days or more; ","")&amp;IF(AND(Y153="",AD153&gt;=100000),"cost impact AED 100,000 or more; ","")&amp;IF(AND(Y153&lt;&gt;"",V153=""),"closed with no verification date; ","")&amp;IF(AND(Y153&lt;&gt;"",X153=""),"closed without a closure certificate; ","")&amp;IF(AND(Y153&lt;&gt;"",Z153&gt;90),"closed more than 90 days after raising; ","")))</f>
        <v/>
      </c>
    </row>
    <row r="154">
      <c r="A154" s="10" t="n"/>
      <c r="B154" s="11" t="n"/>
      <c r="C154" s="12" t="n"/>
      <c r="D154" s="12" t="n"/>
      <c r="E154" s="12" t="n"/>
      <c r="F154" s="13" t="n"/>
      <c r="G154" s="13" t="n"/>
      <c r="H154" s="13" t="n"/>
      <c r="I154" s="13" t="n"/>
      <c r="J154" s="13" t="n"/>
      <c r="K154" s="13" t="n"/>
      <c r="L154" s="13" t="n"/>
      <c r="M154" s="11" t="n"/>
      <c r="N154" s="11" t="n"/>
      <c r="O154" s="12" t="n"/>
      <c r="P154" s="13" t="n"/>
      <c r="Q154" s="13" t="n"/>
      <c r="R154" s="13" t="n"/>
      <c r="S154" s="11" t="n"/>
      <c r="T154" s="11" t="n"/>
      <c r="U154" s="13" t="n"/>
      <c r="V154" s="11" t="n"/>
      <c r="W154" s="12" t="n"/>
      <c r="X154" s="12" t="n"/>
      <c r="Y154" s="11" t="n"/>
      <c r="Z154" s="14">
        <f>IF(A154="","",IF(Y154&lt;&gt;"",Y154-B154,TODAY()-B154))</f>
        <v/>
      </c>
      <c r="AA154" s="14">
        <f>IF(A154="","",IF(AND(Y154="",TODAY()&gt;S154),"OVERDUE",IF(AND(Y154&lt;&gt;"",Y154&gt;S154),"CLOSED LATE","")))</f>
        <v/>
      </c>
      <c r="AB154" s="12" t="n"/>
      <c r="AC154" s="13" t="n"/>
      <c r="AD154" s="21" t="n"/>
      <c r="AE154" s="12" t="n"/>
      <c r="AF154" s="14">
        <f>IF(A154="","",IF(Y154&lt;&gt;"","Closed",IF(TODAY()&gt;S154,"Overdue","Open")))</f>
        <v/>
      </c>
      <c r="AG154" s="12" t="n"/>
      <c r="AH154" s="13" t="n"/>
      <c r="AI154" s="12" t="n"/>
      <c r="AJ154" s="14">
        <f>IF(A154="","",IF(OR(C154="Major",C154="Systemic"),4,IF(C154="Minor",1,0))+IF(AND(Y154="",S154&lt;&gt;"",TODAY()&gt;S154),3,0)+IF(AB154="Yes",3,0)+IF(AG154="Yes",2,0)+IF(AND(Y154="",AE154&gt;=14),2,0)+IF(AND(Y154="",AD154&gt;=100000),2,0)+IF(AND(Y154&lt;&gt;"",V154=""),3,0)+IF(AND(Y154&lt;&gt;"",X154=""),2,0)+IF(AND(Y154&lt;&gt;"",Z154&gt;90),1,0))</f>
        <v/>
      </c>
      <c r="AK154" s="14">
        <f>IF(AJ154="","",IF(AJ154&gt;=10,"CRITICAL",IF(AJ154&gt;=6,"HIGH",IF(AJ154&gt;=3,"WATCH","LOW"))))</f>
        <v/>
      </c>
      <c r="AL154" s="20">
        <f>IF(AJ154="","",TRIM(IF(OR(C154="Major",C154="Systemic"),"major or systemic; ","")&amp;IF(AND(Y154="",S154&lt;&gt;"",TODAY()&gt;S154),"open past agreed date; ","")&amp;IF(AB154="Yes","authority or NOC linked; ","")&amp;IF(AG154="Yes","repeat of a previous NCR; ","")&amp;IF(AND(Y154="",AE154&gt;=14),"programme impact 14 days or more; ","")&amp;IF(AND(Y154="",AD154&gt;=100000),"cost impact AED 100,000 or more; ","")&amp;IF(AND(Y154&lt;&gt;"",V154=""),"closed with no verification date; ","")&amp;IF(AND(Y154&lt;&gt;"",X154=""),"closed without a closure certificate; ","")&amp;IF(AND(Y154&lt;&gt;"",Z154&gt;90),"closed more than 90 days after raising; ","")))</f>
        <v/>
      </c>
    </row>
    <row r="155">
      <c r="A155" s="10" t="n"/>
      <c r="B155" s="11" t="n"/>
      <c r="C155" s="12" t="n"/>
      <c r="D155" s="12" t="n"/>
      <c r="E155" s="12" t="n"/>
      <c r="F155" s="13" t="n"/>
      <c r="G155" s="13" t="n"/>
      <c r="H155" s="13" t="n"/>
      <c r="I155" s="13" t="n"/>
      <c r="J155" s="13" t="n"/>
      <c r="K155" s="13" t="n"/>
      <c r="L155" s="13" t="n"/>
      <c r="M155" s="11" t="n"/>
      <c r="N155" s="11" t="n"/>
      <c r="O155" s="12" t="n"/>
      <c r="P155" s="13" t="n"/>
      <c r="Q155" s="13" t="n"/>
      <c r="R155" s="13" t="n"/>
      <c r="S155" s="11" t="n"/>
      <c r="T155" s="11" t="n"/>
      <c r="U155" s="13" t="n"/>
      <c r="V155" s="11" t="n"/>
      <c r="W155" s="12" t="n"/>
      <c r="X155" s="12" t="n"/>
      <c r="Y155" s="11" t="n"/>
      <c r="Z155" s="14">
        <f>IF(A155="","",IF(Y155&lt;&gt;"",Y155-B155,TODAY()-B155))</f>
        <v/>
      </c>
      <c r="AA155" s="14">
        <f>IF(A155="","",IF(AND(Y155="",TODAY()&gt;S155),"OVERDUE",IF(AND(Y155&lt;&gt;"",Y155&gt;S155),"CLOSED LATE","")))</f>
        <v/>
      </c>
      <c r="AB155" s="12" t="n"/>
      <c r="AC155" s="13" t="n"/>
      <c r="AD155" s="21" t="n"/>
      <c r="AE155" s="12" t="n"/>
      <c r="AF155" s="14">
        <f>IF(A155="","",IF(Y155&lt;&gt;"","Closed",IF(TODAY()&gt;S155,"Overdue","Open")))</f>
        <v/>
      </c>
      <c r="AG155" s="12" t="n"/>
      <c r="AH155" s="13" t="n"/>
      <c r="AI155" s="12" t="n"/>
      <c r="AJ155" s="14">
        <f>IF(A155="","",IF(OR(C155="Major",C155="Systemic"),4,IF(C155="Minor",1,0))+IF(AND(Y155="",S155&lt;&gt;"",TODAY()&gt;S155),3,0)+IF(AB155="Yes",3,0)+IF(AG155="Yes",2,0)+IF(AND(Y155="",AE155&gt;=14),2,0)+IF(AND(Y155="",AD155&gt;=100000),2,0)+IF(AND(Y155&lt;&gt;"",V155=""),3,0)+IF(AND(Y155&lt;&gt;"",X155=""),2,0)+IF(AND(Y155&lt;&gt;"",Z155&gt;90),1,0))</f>
        <v/>
      </c>
      <c r="AK155" s="14">
        <f>IF(AJ155="","",IF(AJ155&gt;=10,"CRITICAL",IF(AJ155&gt;=6,"HIGH",IF(AJ155&gt;=3,"WATCH","LOW"))))</f>
        <v/>
      </c>
      <c r="AL155" s="20">
        <f>IF(AJ155="","",TRIM(IF(OR(C155="Major",C155="Systemic"),"major or systemic; ","")&amp;IF(AND(Y155="",S155&lt;&gt;"",TODAY()&gt;S155),"open past agreed date; ","")&amp;IF(AB155="Yes","authority or NOC linked; ","")&amp;IF(AG155="Yes","repeat of a previous NCR; ","")&amp;IF(AND(Y155="",AE155&gt;=14),"programme impact 14 days or more; ","")&amp;IF(AND(Y155="",AD155&gt;=100000),"cost impact AED 100,000 or more; ","")&amp;IF(AND(Y155&lt;&gt;"",V155=""),"closed with no verification date; ","")&amp;IF(AND(Y155&lt;&gt;"",X155=""),"closed without a closure certificate; ","")&amp;IF(AND(Y155&lt;&gt;"",Z155&gt;90),"closed more than 90 days after raising; ","")))</f>
        <v/>
      </c>
    </row>
    <row r="156">
      <c r="A156" s="10" t="n"/>
      <c r="B156" s="11" t="n"/>
      <c r="C156" s="12" t="n"/>
      <c r="D156" s="12" t="n"/>
      <c r="E156" s="12" t="n"/>
      <c r="F156" s="13" t="n"/>
      <c r="G156" s="13" t="n"/>
      <c r="H156" s="13" t="n"/>
      <c r="I156" s="13" t="n"/>
      <c r="J156" s="13" t="n"/>
      <c r="K156" s="13" t="n"/>
      <c r="L156" s="13" t="n"/>
      <c r="M156" s="11" t="n"/>
      <c r="N156" s="11" t="n"/>
      <c r="O156" s="12" t="n"/>
      <c r="P156" s="13" t="n"/>
      <c r="Q156" s="13" t="n"/>
      <c r="R156" s="13" t="n"/>
      <c r="S156" s="11" t="n"/>
      <c r="T156" s="11" t="n"/>
      <c r="U156" s="13" t="n"/>
      <c r="V156" s="11" t="n"/>
      <c r="W156" s="12" t="n"/>
      <c r="X156" s="12" t="n"/>
      <c r="Y156" s="11" t="n"/>
      <c r="Z156" s="14">
        <f>IF(A156="","",IF(Y156&lt;&gt;"",Y156-B156,TODAY()-B156))</f>
        <v/>
      </c>
      <c r="AA156" s="14">
        <f>IF(A156="","",IF(AND(Y156="",TODAY()&gt;S156),"OVERDUE",IF(AND(Y156&lt;&gt;"",Y156&gt;S156),"CLOSED LATE","")))</f>
        <v/>
      </c>
      <c r="AB156" s="12" t="n"/>
      <c r="AC156" s="13" t="n"/>
      <c r="AD156" s="21" t="n"/>
      <c r="AE156" s="12" t="n"/>
      <c r="AF156" s="14">
        <f>IF(A156="","",IF(Y156&lt;&gt;"","Closed",IF(TODAY()&gt;S156,"Overdue","Open")))</f>
        <v/>
      </c>
      <c r="AG156" s="12" t="n"/>
      <c r="AH156" s="13" t="n"/>
      <c r="AI156" s="12" t="n"/>
      <c r="AJ156" s="14">
        <f>IF(A156="","",IF(OR(C156="Major",C156="Systemic"),4,IF(C156="Minor",1,0))+IF(AND(Y156="",S156&lt;&gt;"",TODAY()&gt;S156),3,0)+IF(AB156="Yes",3,0)+IF(AG156="Yes",2,0)+IF(AND(Y156="",AE156&gt;=14),2,0)+IF(AND(Y156="",AD156&gt;=100000),2,0)+IF(AND(Y156&lt;&gt;"",V156=""),3,0)+IF(AND(Y156&lt;&gt;"",X156=""),2,0)+IF(AND(Y156&lt;&gt;"",Z156&gt;90),1,0))</f>
        <v/>
      </c>
      <c r="AK156" s="14">
        <f>IF(AJ156="","",IF(AJ156&gt;=10,"CRITICAL",IF(AJ156&gt;=6,"HIGH",IF(AJ156&gt;=3,"WATCH","LOW"))))</f>
        <v/>
      </c>
      <c r="AL156" s="20">
        <f>IF(AJ156="","",TRIM(IF(OR(C156="Major",C156="Systemic"),"major or systemic; ","")&amp;IF(AND(Y156="",S156&lt;&gt;"",TODAY()&gt;S156),"open past agreed date; ","")&amp;IF(AB156="Yes","authority or NOC linked; ","")&amp;IF(AG156="Yes","repeat of a previous NCR; ","")&amp;IF(AND(Y156="",AE156&gt;=14),"programme impact 14 days or more; ","")&amp;IF(AND(Y156="",AD156&gt;=100000),"cost impact AED 100,000 or more; ","")&amp;IF(AND(Y156&lt;&gt;"",V156=""),"closed with no verification date; ","")&amp;IF(AND(Y156&lt;&gt;"",X156=""),"closed without a closure certificate; ","")&amp;IF(AND(Y156&lt;&gt;"",Z156&gt;90),"closed more than 90 days after raising; ","")))</f>
        <v/>
      </c>
    </row>
    <row r="157">
      <c r="A157" s="10" t="n"/>
      <c r="B157" s="11" t="n"/>
      <c r="C157" s="12" t="n"/>
      <c r="D157" s="12" t="n"/>
      <c r="E157" s="12" t="n"/>
      <c r="F157" s="13" t="n"/>
      <c r="G157" s="13" t="n"/>
      <c r="H157" s="13" t="n"/>
      <c r="I157" s="13" t="n"/>
      <c r="J157" s="13" t="n"/>
      <c r="K157" s="13" t="n"/>
      <c r="L157" s="13" t="n"/>
      <c r="M157" s="11" t="n"/>
      <c r="N157" s="11" t="n"/>
      <c r="O157" s="12" t="n"/>
      <c r="P157" s="13" t="n"/>
      <c r="Q157" s="13" t="n"/>
      <c r="R157" s="13" t="n"/>
      <c r="S157" s="11" t="n"/>
      <c r="T157" s="11" t="n"/>
      <c r="U157" s="13" t="n"/>
      <c r="V157" s="11" t="n"/>
      <c r="W157" s="12" t="n"/>
      <c r="X157" s="12" t="n"/>
      <c r="Y157" s="11" t="n"/>
      <c r="Z157" s="14">
        <f>IF(A157="","",IF(Y157&lt;&gt;"",Y157-B157,TODAY()-B157))</f>
        <v/>
      </c>
      <c r="AA157" s="14">
        <f>IF(A157="","",IF(AND(Y157="",TODAY()&gt;S157),"OVERDUE",IF(AND(Y157&lt;&gt;"",Y157&gt;S157),"CLOSED LATE","")))</f>
        <v/>
      </c>
      <c r="AB157" s="12" t="n"/>
      <c r="AC157" s="13" t="n"/>
      <c r="AD157" s="21" t="n"/>
      <c r="AE157" s="12" t="n"/>
      <c r="AF157" s="14">
        <f>IF(A157="","",IF(Y157&lt;&gt;"","Closed",IF(TODAY()&gt;S157,"Overdue","Open")))</f>
        <v/>
      </c>
      <c r="AG157" s="12" t="n"/>
      <c r="AH157" s="13" t="n"/>
      <c r="AI157" s="12" t="n"/>
      <c r="AJ157" s="14">
        <f>IF(A157="","",IF(OR(C157="Major",C157="Systemic"),4,IF(C157="Minor",1,0))+IF(AND(Y157="",S157&lt;&gt;"",TODAY()&gt;S157),3,0)+IF(AB157="Yes",3,0)+IF(AG157="Yes",2,0)+IF(AND(Y157="",AE157&gt;=14),2,0)+IF(AND(Y157="",AD157&gt;=100000),2,0)+IF(AND(Y157&lt;&gt;"",V157=""),3,0)+IF(AND(Y157&lt;&gt;"",X157=""),2,0)+IF(AND(Y157&lt;&gt;"",Z157&gt;90),1,0))</f>
        <v/>
      </c>
      <c r="AK157" s="14">
        <f>IF(AJ157="","",IF(AJ157&gt;=10,"CRITICAL",IF(AJ157&gt;=6,"HIGH",IF(AJ157&gt;=3,"WATCH","LOW"))))</f>
        <v/>
      </c>
      <c r="AL157" s="20">
        <f>IF(AJ157="","",TRIM(IF(OR(C157="Major",C157="Systemic"),"major or systemic; ","")&amp;IF(AND(Y157="",S157&lt;&gt;"",TODAY()&gt;S157),"open past agreed date; ","")&amp;IF(AB157="Yes","authority or NOC linked; ","")&amp;IF(AG157="Yes","repeat of a previous NCR; ","")&amp;IF(AND(Y157="",AE157&gt;=14),"programme impact 14 days or more; ","")&amp;IF(AND(Y157="",AD157&gt;=100000),"cost impact AED 100,000 or more; ","")&amp;IF(AND(Y157&lt;&gt;"",V157=""),"closed with no verification date; ","")&amp;IF(AND(Y157&lt;&gt;"",X157=""),"closed without a closure certificate; ","")&amp;IF(AND(Y157&lt;&gt;"",Z157&gt;90),"closed more than 90 days after raising; ","")))</f>
        <v/>
      </c>
    </row>
    <row r="158">
      <c r="A158" s="10" t="n"/>
      <c r="B158" s="11" t="n"/>
      <c r="C158" s="12" t="n"/>
      <c r="D158" s="12" t="n"/>
      <c r="E158" s="12" t="n"/>
      <c r="F158" s="13" t="n"/>
      <c r="G158" s="13" t="n"/>
      <c r="H158" s="13" t="n"/>
      <c r="I158" s="13" t="n"/>
      <c r="J158" s="13" t="n"/>
      <c r="K158" s="13" t="n"/>
      <c r="L158" s="13" t="n"/>
      <c r="M158" s="11" t="n"/>
      <c r="N158" s="11" t="n"/>
      <c r="O158" s="12" t="n"/>
      <c r="P158" s="13" t="n"/>
      <c r="Q158" s="13" t="n"/>
      <c r="R158" s="13" t="n"/>
      <c r="S158" s="11" t="n"/>
      <c r="T158" s="11" t="n"/>
      <c r="U158" s="13" t="n"/>
      <c r="V158" s="11" t="n"/>
      <c r="W158" s="12" t="n"/>
      <c r="X158" s="12" t="n"/>
      <c r="Y158" s="11" t="n"/>
      <c r="Z158" s="14">
        <f>IF(A158="","",IF(Y158&lt;&gt;"",Y158-B158,TODAY()-B158))</f>
        <v/>
      </c>
      <c r="AA158" s="14">
        <f>IF(A158="","",IF(AND(Y158="",TODAY()&gt;S158),"OVERDUE",IF(AND(Y158&lt;&gt;"",Y158&gt;S158),"CLOSED LATE","")))</f>
        <v/>
      </c>
      <c r="AB158" s="12" t="n"/>
      <c r="AC158" s="13" t="n"/>
      <c r="AD158" s="21" t="n"/>
      <c r="AE158" s="12" t="n"/>
      <c r="AF158" s="14">
        <f>IF(A158="","",IF(Y158&lt;&gt;"","Closed",IF(TODAY()&gt;S158,"Overdue","Open")))</f>
        <v/>
      </c>
      <c r="AG158" s="12" t="n"/>
      <c r="AH158" s="13" t="n"/>
      <c r="AI158" s="12" t="n"/>
      <c r="AJ158" s="14">
        <f>IF(A158="","",IF(OR(C158="Major",C158="Systemic"),4,IF(C158="Minor",1,0))+IF(AND(Y158="",S158&lt;&gt;"",TODAY()&gt;S158),3,0)+IF(AB158="Yes",3,0)+IF(AG158="Yes",2,0)+IF(AND(Y158="",AE158&gt;=14),2,0)+IF(AND(Y158="",AD158&gt;=100000),2,0)+IF(AND(Y158&lt;&gt;"",V158=""),3,0)+IF(AND(Y158&lt;&gt;"",X158=""),2,0)+IF(AND(Y158&lt;&gt;"",Z158&gt;90),1,0))</f>
        <v/>
      </c>
      <c r="AK158" s="14">
        <f>IF(AJ158="","",IF(AJ158&gt;=10,"CRITICAL",IF(AJ158&gt;=6,"HIGH",IF(AJ158&gt;=3,"WATCH","LOW"))))</f>
        <v/>
      </c>
      <c r="AL158" s="20">
        <f>IF(AJ158="","",TRIM(IF(OR(C158="Major",C158="Systemic"),"major or systemic; ","")&amp;IF(AND(Y158="",S158&lt;&gt;"",TODAY()&gt;S158),"open past agreed date; ","")&amp;IF(AB158="Yes","authority or NOC linked; ","")&amp;IF(AG158="Yes","repeat of a previous NCR; ","")&amp;IF(AND(Y158="",AE158&gt;=14),"programme impact 14 days or more; ","")&amp;IF(AND(Y158="",AD158&gt;=100000),"cost impact AED 100,000 or more; ","")&amp;IF(AND(Y158&lt;&gt;"",V158=""),"closed with no verification date; ","")&amp;IF(AND(Y158&lt;&gt;"",X158=""),"closed without a closure certificate; ","")&amp;IF(AND(Y158&lt;&gt;"",Z158&gt;90),"closed more than 90 days after raising; ","")))</f>
        <v/>
      </c>
    </row>
    <row r="159">
      <c r="A159" s="10" t="n"/>
      <c r="B159" s="11" t="n"/>
      <c r="C159" s="12" t="n"/>
      <c r="D159" s="12" t="n"/>
      <c r="E159" s="12" t="n"/>
      <c r="F159" s="13" t="n"/>
      <c r="G159" s="13" t="n"/>
      <c r="H159" s="13" t="n"/>
      <c r="I159" s="13" t="n"/>
      <c r="J159" s="13" t="n"/>
      <c r="K159" s="13" t="n"/>
      <c r="L159" s="13" t="n"/>
      <c r="M159" s="11" t="n"/>
      <c r="N159" s="11" t="n"/>
      <c r="O159" s="12" t="n"/>
      <c r="P159" s="13" t="n"/>
      <c r="Q159" s="13" t="n"/>
      <c r="R159" s="13" t="n"/>
      <c r="S159" s="11" t="n"/>
      <c r="T159" s="11" t="n"/>
      <c r="U159" s="13" t="n"/>
      <c r="V159" s="11" t="n"/>
      <c r="W159" s="12" t="n"/>
      <c r="X159" s="12" t="n"/>
      <c r="Y159" s="11" t="n"/>
      <c r="Z159" s="14">
        <f>IF(A159="","",IF(Y159&lt;&gt;"",Y159-B159,TODAY()-B159))</f>
        <v/>
      </c>
      <c r="AA159" s="14">
        <f>IF(A159="","",IF(AND(Y159="",TODAY()&gt;S159),"OVERDUE",IF(AND(Y159&lt;&gt;"",Y159&gt;S159),"CLOSED LATE","")))</f>
        <v/>
      </c>
      <c r="AB159" s="12" t="n"/>
      <c r="AC159" s="13" t="n"/>
      <c r="AD159" s="21" t="n"/>
      <c r="AE159" s="12" t="n"/>
      <c r="AF159" s="14">
        <f>IF(A159="","",IF(Y159&lt;&gt;"","Closed",IF(TODAY()&gt;S159,"Overdue","Open")))</f>
        <v/>
      </c>
      <c r="AG159" s="12" t="n"/>
      <c r="AH159" s="13" t="n"/>
      <c r="AI159" s="12" t="n"/>
      <c r="AJ159" s="14">
        <f>IF(A159="","",IF(OR(C159="Major",C159="Systemic"),4,IF(C159="Minor",1,0))+IF(AND(Y159="",S159&lt;&gt;"",TODAY()&gt;S159),3,0)+IF(AB159="Yes",3,0)+IF(AG159="Yes",2,0)+IF(AND(Y159="",AE159&gt;=14),2,0)+IF(AND(Y159="",AD159&gt;=100000),2,0)+IF(AND(Y159&lt;&gt;"",V159=""),3,0)+IF(AND(Y159&lt;&gt;"",X159=""),2,0)+IF(AND(Y159&lt;&gt;"",Z159&gt;90),1,0))</f>
        <v/>
      </c>
      <c r="AK159" s="14">
        <f>IF(AJ159="","",IF(AJ159&gt;=10,"CRITICAL",IF(AJ159&gt;=6,"HIGH",IF(AJ159&gt;=3,"WATCH","LOW"))))</f>
        <v/>
      </c>
      <c r="AL159" s="20">
        <f>IF(AJ159="","",TRIM(IF(OR(C159="Major",C159="Systemic"),"major or systemic; ","")&amp;IF(AND(Y159="",S159&lt;&gt;"",TODAY()&gt;S159),"open past agreed date; ","")&amp;IF(AB159="Yes","authority or NOC linked; ","")&amp;IF(AG159="Yes","repeat of a previous NCR; ","")&amp;IF(AND(Y159="",AE159&gt;=14),"programme impact 14 days or more; ","")&amp;IF(AND(Y159="",AD159&gt;=100000),"cost impact AED 100,000 or more; ","")&amp;IF(AND(Y159&lt;&gt;"",V159=""),"closed with no verification date; ","")&amp;IF(AND(Y159&lt;&gt;"",X159=""),"closed without a closure certificate; ","")&amp;IF(AND(Y159&lt;&gt;"",Z159&gt;90),"closed more than 90 days after raising; ","")))</f>
        <v/>
      </c>
    </row>
    <row r="160">
      <c r="A160" s="10" t="n"/>
      <c r="B160" s="11" t="n"/>
      <c r="C160" s="12" t="n"/>
      <c r="D160" s="12" t="n"/>
      <c r="E160" s="12" t="n"/>
      <c r="F160" s="13" t="n"/>
      <c r="G160" s="13" t="n"/>
      <c r="H160" s="13" t="n"/>
      <c r="I160" s="13" t="n"/>
      <c r="J160" s="13" t="n"/>
      <c r="K160" s="13" t="n"/>
      <c r="L160" s="13" t="n"/>
      <c r="M160" s="11" t="n"/>
      <c r="N160" s="11" t="n"/>
      <c r="O160" s="12" t="n"/>
      <c r="P160" s="13" t="n"/>
      <c r="Q160" s="13" t="n"/>
      <c r="R160" s="13" t="n"/>
      <c r="S160" s="11" t="n"/>
      <c r="T160" s="11" t="n"/>
      <c r="U160" s="13" t="n"/>
      <c r="V160" s="11" t="n"/>
      <c r="W160" s="12" t="n"/>
      <c r="X160" s="12" t="n"/>
      <c r="Y160" s="11" t="n"/>
      <c r="Z160" s="14">
        <f>IF(A160="","",IF(Y160&lt;&gt;"",Y160-B160,TODAY()-B160))</f>
        <v/>
      </c>
      <c r="AA160" s="14">
        <f>IF(A160="","",IF(AND(Y160="",TODAY()&gt;S160),"OVERDUE",IF(AND(Y160&lt;&gt;"",Y160&gt;S160),"CLOSED LATE","")))</f>
        <v/>
      </c>
      <c r="AB160" s="12" t="n"/>
      <c r="AC160" s="13" t="n"/>
      <c r="AD160" s="21" t="n"/>
      <c r="AE160" s="12" t="n"/>
      <c r="AF160" s="14">
        <f>IF(A160="","",IF(Y160&lt;&gt;"","Closed",IF(TODAY()&gt;S160,"Overdue","Open")))</f>
        <v/>
      </c>
      <c r="AG160" s="12" t="n"/>
      <c r="AH160" s="13" t="n"/>
      <c r="AI160" s="12" t="n"/>
      <c r="AJ160" s="14">
        <f>IF(A160="","",IF(OR(C160="Major",C160="Systemic"),4,IF(C160="Minor",1,0))+IF(AND(Y160="",S160&lt;&gt;"",TODAY()&gt;S160),3,0)+IF(AB160="Yes",3,0)+IF(AG160="Yes",2,0)+IF(AND(Y160="",AE160&gt;=14),2,0)+IF(AND(Y160="",AD160&gt;=100000),2,0)+IF(AND(Y160&lt;&gt;"",V160=""),3,0)+IF(AND(Y160&lt;&gt;"",X160=""),2,0)+IF(AND(Y160&lt;&gt;"",Z160&gt;90),1,0))</f>
        <v/>
      </c>
      <c r="AK160" s="14">
        <f>IF(AJ160="","",IF(AJ160&gt;=10,"CRITICAL",IF(AJ160&gt;=6,"HIGH",IF(AJ160&gt;=3,"WATCH","LOW"))))</f>
        <v/>
      </c>
      <c r="AL160" s="20">
        <f>IF(AJ160="","",TRIM(IF(OR(C160="Major",C160="Systemic"),"major or systemic; ","")&amp;IF(AND(Y160="",S160&lt;&gt;"",TODAY()&gt;S160),"open past agreed date; ","")&amp;IF(AB160="Yes","authority or NOC linked; ","")&amp;IF(AG160="Yes","repeat of a previous NCR; ","")&amp;IF(AND(Y160="",AE160&gt;=14),"programme impact 14 days or more; ","")&amp;IF(AND(Y160="",AD160&gt;=100000),"cost impact AED 100,000 or more; ","")&amp;IF(AND(Y160&lt;&gt;"",V160=""),"closed with no verification date; ","")&amp;IF(AND(Y160&lt;&gt;"",X160=""),"closed without a closure certificate; ","")&amp;IF(AND(Y160&lt;&gt;"",Z160&gt;90),"closed more than 90 days after raising; ","")))</f>
        <v/>
      </c>
    </row>
    <row r="161">
      <c r="A161" s="10" t="n"/>
      <c r="B161" s="11" t="n"/>
      <c r="C161" s="12" t="n"/>
      <c r="D161" s="12" t="n"/>
      <c r="E161" s="12" t="n"/>
      <c r="F161" s="13" t="n"/>
      <c r="G161" s="13" t="n"/>
      <c r="H161" s="13" t="n"/>
      <c r="I161" s="13" t="n"/>
      <c r="J161" s="13" t="n"/>
      <c r="K161" s="13" t="n"/>
      <c r="L161" s="13" t="n"/>
      <c r="M161" s="11" t="n"/>
      <c r="N161" s="11" t="n"/>
      <c r="O161" s="12" t="n"/>
      <c r="P161" s="13" t="n"/>
      <c r="Q161" s="13" t="n"/>
      <c r="R161" s="13" t="n"/>
      <c r="S161" s="11" t="n"/>
      <c r="T161" s="11" t="n"/>
      <c r="U161" s="13" t="n"/>
      <c r="V161" s="11" t="n"/>
      <c r="W161" s="12" t="n"/>
      <c r="X161" s="12" t="n"/>
      <c r="Y161" s="11" t="n"/>
      <c r="Z161" s="14">
        <f>IF(A161="","",IF(Y161&lt;&gt;"",Y161-B161,TODAY()-B161))</f>
        <v/>
      </c>
      <c r="AA161" s="14">
        <f>IF(A161="","",IF(AND(Y161="",TODAY()&gt;S161),"OVERDUE",IF(AND(Y161&lt;&gt;"",Y161&gt;S161),"CLOSED LATE","")))</f>
        <v/>
      </c>
      <c r="AB161" s="12" t="n"/>
      <c r="AC161" s="13" t="n"/>
      <c r="AD161" s="21" t="n"/>
      <c r="AE161" s="12" t="n"/>
      <c r="AF161" s="14">
        <f>IF(A161="","",IF(Y161&lt;&gt;"","Closed",IF(TODAY()&gt;S161,"Overdue","Open")))</f>
        <v/>
      </c>
      <c r="AG161" s="12" t="n"/>
      <c r="AH161" s="13" t="n"/>
      <c r="AI161" s="12" t="n"/>
      <c r="AJ161" s="14">
        <f>IF(A161="","",IF(OR(C161="Major",C161="Systemic"),4,IF(C161="Minor",1,0))+IF(AND(Y161="",S161&lt;&gt;"",TODAY()&gt;S161),3,0)+IF(AB161="Yes",3,0)+IF(AG161="Yes",2,0)+IF(AND(Y161="",AE161&gt;=14),2,0)+IF(AND(Y161="",AD161&gt;=100000),2,0)+IF(AND(Y161&lt;&gt;"",V161=""),3,0)+IF(AND(Y161&lt;&gt;"",X161=""),2,0)+IF(AND(Y161&lt;&gt;"",Z161&gt;90),1,0))</f>
        <v/>
      </c>
      <c r="AK161" s="14">
        <f>IF(AJ161="","",IF(AJ161&gt;=10,"CRITICAL",IF(AJ161&gt;=6,"HIGH",IF(AJ161&gt;=3,"WATCH","LOW"))))</f>
        <v/>
      </c>
      <c r="AL161" s="20">
        <f>IF(AJ161="","",TRIM(IF(OR(C161="Major",C161="Systemic"),"major or systemic; ","")&amp;IF(AND(Y161="",S161&lt;&gt;"",TODAY()&gt;S161),"open past agreed date; ","")&amp;IF(AB161="Yes","authority or NOC linked; ","")&amp;IF(AG161="Yes","repeat of a previous NCR; ","")&amp;IF(AND(Y161="",AE161&gt;=14),"programme impact 14 days or more; ","")&amp;IF(AND(Y161="",AD161&gt;=100000),"cost impact AED 100,000 or more; ","")&amp;IF(AND(Y161&lt;&gt;"",V161=""),"closed with no verification date; ","")&amp;IF(AND(Y161&lt;&gt;"",X161=""),"closed without a closure certificate; ","")&amp;IF(AND(Y161&lt;&gt;"",Z161&gt;90),"closed more than 90 days after raising; ","")))</f>
        <v/>
      </c>
    </row>
    <row r="162">
      <c r="A162" s="10" t="n"/>
      <c r="B162" s="11" t="n"/>
      <c r="C162" s="12" t="n"/>
      <c r="D162" s="12" t="n"/>
      <c r="E162" s="12" t="n"/>
      <c r="F162" s="13" t="n"/>
      <c r="G162" s="13" t="n"/>
      <c r="H162" s="13" t="n"/>
      <c r="I162" s="13" t="n"/>
      <c r="J162" s="13" t="n"/>
      <c r="K162" s="13" t="n"/>
      <c r="L162" s="13" t="n"/>
      <c r="M162" s="11" t="n"/>
      <c r="N162" s="11" t="n"/>
      <c r="O162" s="12" t="n"/>
      <c r="P162" s="13" t="n"/>
      <c r="Q162" s="13" t="n"/>
      <c r="R162" s="13" t="n"/>
      <c r="S162" s="11" t="n"/>
      <c r="T162" s="11" t="n"/>
      <c r="U162" s="13" t="n"/>
      <c r="V162" s="11" t="n"/>
      <c r="W162" s="12" t="n"/>
      <c r="X162" s="12" t="n"/>
      <c r="Y162" s="11" t="n"/>
      <c r="Z162" s="14">
        <f>IF(A162="","",IF(Y162&lt;&gt;"",Y162-B162,TODAY()-B162))</f>
        <v/>
      </c>
      <c r="AA162" s="14">
        <f>IF(A162="","",IF(AND(Y162="",TODAY()&gt;S162),"OVERDUE",IF(AND(Y162&lt;&gt;"",Y162&gt;S162),"CLOSED LATE","")))</f>
        <v/>
      </c>
      <c r="AB162" s="12" t="n"/>
      <c r="AC162" s="13" t="n"/>
      <c r="AD162" s="21" t="n"/>
      <c r="AE162" s="12" t="n"/>
      <c r="AF162" s="14">
        <f>IF(A162="","",IF(Y162&lt;&gt;"","Closed",IF(TODAY()&gt;S162,"Overdue","Open")))</f>
        <v/>
      </c>
      <c r="AG162" s="12" t="n"/>
      <c r="AH162" s="13" t="n"/>
      <c r="AI162" s="12" t="n"/>
      <c r="AJ162" s="14">
        <f>IF(A162="","",IF(OR(C162="Major",C162="Systemic"),4,IF(C162="Minor",1,0))+IF(AND(Y162="",S162&lt;&gt;"",TODAY()&gt;S162),3,0)+IF(AB162="Yes",3,0)+IF(AG162="Yes",2,0)+IF(AND(Y162="",AE162&gt;=14),2,0)+IF(AND(Y162="",AD162&gt;=100000),2,0)+IF(AND(Y162&lt;&gt;"",V162=""),3,0)+IF(AND(Y162&lt;&gt;"",X162=""),2,0)+IF(AND(Y162&lt;&gt;"",Z162&gt;90),1,0))</f>
        <v/>
      </c>
      <c r="AK162" s="14">
        <f>IF(AJ162="","",IF(AJ162&gt;=10,"CRITICAL",IF(AJ162&gt;=6,"HIGH",IF(AJ162&gt;=3,"WATCH","LOW"))))</f>
        <v/>
      </c>
      <c r="AL162" s="20">
        <f>IF(AJ162="","",TRIM(IF(OR(C162="Major",C162="Systemic"),"major or systemic; ","")&amp;IF(AND(Y162="",S162&lt;&gt;"",TODAY()&gt;S162),"open past agreed date; ","")&amp;IF(AB162="Yes","authority or NOC linked; ","")&amp;IF(AG162="Yes","repeat of a previous NCR; ","")&amp;IF(AND(Y162="",AE162&gt;=14),"programme impact 14 days or more; ","")&amp;IF(AND(Y162="",AD162&gt;=100000),"cost impact AED 100,000 or more; ","")&amp;IF(AND(Y162&lt;&gt;"",V162=""),"closed with no verification date; ","")&amp;IF(AND(Y162&lt;&gt;"",X162=""),"closed without a closure certificate; ","")&amp;IF(AND(Y162&lt;&gt;"",Z162&gt;90),"closed more than 90 days after raising; ","")))</f>
        <v/>
      </c>
    </row>
    <row r="163">
      <c r="A163" s="10" t="n"/>
      <c r="B163" s="11" t="n"/>
      <c r="C163" s="12" t="n"/>
      <c r="D163" s="12" t="n"/>
      <c r="E163" s="12" t="n"/>
      <c r="F163" s="13" t="n"/>
      <c r="G163" s="13" t="n"/>
      <c r="H163" s="13" t="n"/>
      <c r="I163" s="13" t="n"/>
      <c r="J163" s="13" t="n"/>
      <c r="K163" s="13" t="n"/>
      <c r="L163" s="13" t="n"/>
      <c r="M163" s="11" t="n"/>
      <c r="N163" s="11" t="n"/>
      <c r="O163" s="12" t="n"/>
      <c r="P163" s="13" t="n"/>
      <c r="Q163" s="13" t="n"/>
      <c r="R163" s="13" t="n"/>
      <c r="S163" s="11" t="n"/>
      <c r="T163" s="11" t="n"/>
      <c r="U163" s="13" t="n"/>
      <c r="V163" s="11" t="n"/>
      <c r="W163" s="12" t="n"/>
      <c r="X163" s="12" t="n"/>
      <c r="Y163" s="11" t="n"/>
      <c r="Z163" s="14">
        <f>IF(A163="","",IF(Y163&lt;&gt;"",Y163-B163,TODAY()-B163))</f>
        <v/>
      </c>
      <c r="AA163" s="14">
        <f>IF(A163="","",IF(AND(Y163="",TODAY()&gt;S163),"OVERDUE",IF(AND(Y163&lt;&gt;"",Y163&gt;S163),"CLOSED LATE","")))</f>
        <v/>
      </c>
      <c r="AB163" s="12" t="n"/>
      <c r="AC163" s="13" t="n"/>
      <c r="AD163" s="21" t="n"/>
      <c r="AE163" s="12" t="n"/>
      <c r="AF163" s="14">
        <f>IF(A163="","",IF(Y163&lt;&gt;"","Closed",IF(TODAY()&gt;S163,"Overdue","Open")))</f>
        <v/>
      </c>
      <c r="AG163" s="12" t="n"/>
      <c r="AH163" s="13" t="n"/>
      <c r="AI163" s="12" t="n"/>
      <c r="AJ163" s="14">
        <f>IF(A163="","",IF(OR(C163="Major",C163="Systemic"),4,IF(C163="Minor",1,0))+IF(AND(Y163="",S163&lt;&gt;"",TODAY()&gt;S163),3,0)+IF(AB163="Yes",3,0)+IF(AG163="Yes",2,0)+IF(AND(Y163="",AE163&gt;=14),2,0)+IF(AND(Y163="",AD163&gt;=100000),2,0)+IF(AND(Y163&lt;&gt;"",V163=""),3,0)+IF(AND(Y163&lt;&gt;"",X163=""),2,0)+IF(AND(Y163&lt;&gt;"",Z163&gt;90),1,0))</f>
        <v/>
      </c>
      <c r="AK163" s="14">
        <f>IF(AJ163="","",IF(AJ163&gt;=10,"CRITICAL",IF(AJ163&gt;=6,"HIGH",IF(AJ163&gt;=3,"WATCH","LOW"))))</f>
        <v/>
      </c>
      <c r="AL163" s="20">
        <f>IF(AJ163="","",TRIM(IF(OR(C163="Major",C163="Systemic"),"major or systemic; ","")&amp;IF(AND(Y163="",S163&lt;&gt;"",TODAY()&gt;S163),"open past agreed date; ","")&amp;IF(AB163="Yes","authority or NOC linked; ","")&amp;IF(AG163="Yes","repeat of a previous NCR; ","")&amp;IF(AND(Y163="",AE163&gt;=14),"programme impact 14 days or more; ","")&amp;IF(AND(Y163="",AD163&gt;=100000),"cost impact AED 100,000 or more; ","")&amp;IF(AND(Y163&lt;&gt;"",V163=""),"closed with no verification date; ","")&amp;IF(AND(Y163&lt;&gt;"",X163=""),"closed without a closure certificate; ","")&amp;IF(AND(Y163&lt;&gt;"",Z163&gt;90),"closed more than 90 days after raising; ","")))</f>
        <v/>
      </c>
    </row>
    <row r="164">
      <c r="A164" s="10" t="n"/>
      <c r="B164" s="11" t="n"/>
      <c r="C164" s="12" t="n"/>
      <c r="D164" s="12" t="n"/>
      <c r="E164" s="12" t="n"/>
      <c r="F164" s="13" t="n"/>
      <c r="G164" s="13" t="n"/>
      <c r="H164" s="13" t="n"/>
      <c r="I164" s="13" t="n"/>
      <c r="J164" s="13" t="n"/>
      <c r="K164" s="13" t="n"/>
      <c r="L164" s="13" t="n"/>
      <c r="M164" s="11" t="n"/>
      <c r="N164" s="11" t="n"/>
      <c r="O164" s="12" t="n"/>
      <c r="P164" s="13" t="n"/>
      <c r="Q164" s="13" t="n"/>
      <c r="R164" s="13" t="n"/>
      <c r="S164" s="11" t="n"/>
      <c r="T164" s="11" t="n"/>
      <c r="U164" s="13" t="n"/>
      <c r="V164" s="11" t="n"/>
      <c r="W164" s="12" t="n"/>
      <c r="X164" s="12" t="n"/>
      <c r="Y164" s="11" t="n"/>
      <c r="Z164" s="14">
        <f>IF(A164="","",IF(Y164&lt;&gt;"",Y164-B164,TODAY()-B164))</f>
        <v/>
      </c>
      <c r="AA164" s="14">
        <f>IF(A164="","",IF(AND(Y164="",TODAY()&gt;S164),"OVERDUE",IF(AND(Y164&lt;&gt;"",Y164&gt;S164),"CLOSED LATE","")))</f>
        <v/>
      </c>
      <c r="AB164" s="12" t="n"/>
      <c r="AC164" s="13" t="n"/>
      <c r="AD164" s="21" t="n"/>
      <c r="AE164" s="12" t="n"/>
      <c r="AF164" s="14">
        <f>IF(A164="","",IF(Y164&lt;&gt;"","Closed",IF(TODAY()&gt;S164,"Overdue","Open")))</f>
        <v/>
      </c>
      <c r="AG164" s="12" t="n"/>
      <c r="AH164" s="13" t="n"/>
      <c r="AI164" s="12" t="n"/>
      <c r="AJ164" s="14">
        <f>IF(A164="","",IF(OR(C164="Major",C164="Systemic"),4,IF(C164="Minor",1,0))+IF(AND(Y164="",S164&lt;&gt;"",TODAY()&gt;S164),3,0)+IF(AB164="Yes",3,0)+IF(AG164="Yes",2,0)+IF(AND(Y164="",AE164&gt;=14),2,0)+IF(AND(Y164="",AD164&gt;=100000),2,0)+IF(AND(Y164&lt;&gt;"",V164=""),3,0)+IF(AND(Y164&lt;&gt;"",X164=""),2,0)+IF(AND(Y164&lt;&gt;"",Z164&gt;90),1,0))</f>
        <v/>
      </c>
      <c r="AK164" s="14">
        <f>IF(AJ164="","",IF(AJ164&gt;=10,"CRITICAL",IF(AJ164&gt;=6,"HIGH",IF(AJ164&gt;=3,"WATCH","LOW"))))</f>
        <v/>
      </c>
      <c r="AL164" s="20">
        <f>IF(AJ164="","",TRIM(IF(OR(C164="Major",C164="Systemic"),"major or systemic; ","")&amp;IF(AND(Y164="",S164&lt;&gt;"",TODAY()&gt;S164),"open past agreed date; ","")&amp;IF(AB164="Yes","authority or NOC linked; ","")&amp;IF(AG164="Yes","repeat of a previous NCR; ","")&amp;IF(AND(Y164="",AE164&gt;=14),"programme impact 14 days or more; ","")&amp;IF(AND(Y164="",AD164&gt;=100000),"cost impact AED 100,000 or more; ","")&amp;IF(AND(Y164&lt;&gt;"",V164=""),"closed with no verification date; ","")&amp;IF(AND(Y164&lt;&gt;"",X164=""),"closed without a closure certificate; ","")&amp;IF(AND(Y164&lt;&gt;"",Z164&gt;90),"closed more than 90 days after raising; ","")))</f>
        <v/>
      </c>
    </row>
    <row r="165">
      <c r="A165" s="10" t="n"/>
      <c r="B165" s="11" t="n"/>
      <c r="C165" s="12" t="n"/>
      <c r="D165" s="12" t="n"/>
      <c r="E165" s="12" t="n"/>
      <c r="F165" s="13" t="n"/>
      <c r="G165" s="13" t="n"/>
      <c r="H165" s="13" t="n"/>
      <c r="I165" s="13" t="n"/>
      <c r="J165" s="13" t="n"/>
      <c r="K165" s="13" t="n"/>
      <c r="L165" s="13" t="n"/>
      <c r="M165" s="11" t="n"/>
      <c r="N165" s="11" t="n"/>
      <c r="O165" s="12" t="n"/>
      <c r="P165" s="13" t="n"/>
      <c r="Q165" s="13" t="n"/>
      <c r="R165" s="13" t="n"/>
      <c r="S165" s="11" t="n"/>
      <c r="T165" s="11" t="n"/>
      <c r="U165" s="13" t="n"/>
      <c r="V165" s="11" t="n"/>
      <c r="W165" s="12" t="n"/>
      <c r="X165" s="12" t="n"/>
      <c r="Y165" s="11" t="n"/>
      <c r="Z165" s="14">
        <f>IF(A165="","",IF(Y165&lt;&gt;"",Y165-B165,TODAY()-B165))</f>
        <v/>
      </c>
      <c r="AA165" s="14">
        <f>IF(A165="","",IF(AND(Y165="",TODAY()&gt;S165),"OVERDUE",IF(AND(Y165&lt;&gt;"",Y165&gt;S165),"CLOSED LATE","")))</f>
        <v/>
      </c>
      <c r="AB165" s="12" t="n"/>
      <c r="AC165" s="13" t="n"/>
      <c r="AD165" s="21" t="n"/>
      <c r="AE165" s="12" t="n"/>
      <c r="AF165" s="14">
        <f>IF(A165="","",IF(Y165&lt;&gt;"","Closed",IF(TODAY()&gt;S165,"Overdue","Open")))</f>
        <v/>
      </c>
      <c r="AG165" s="12" t="n"/>
      <c r="AH165" s="13" t="n"/>
      <c r="AI165" s="12" t="n"/>
      <c r="AJ165" s="14">
        <f>IF(A165="","",IF(OR(C165="Major",C165="Systemic"),4,IF(C165="Minor",1,0))+IF(AND(Y165="",S165&lt;&gt;"",TODAY()&gt;S165),3,0)+IF(AB165="Yes",3,0)+IF(AG165="Yes",2,0)+IF(AND(Y165="",AE165&gt;=14),2,0)+IF(AND(Y165="",AD165&gt;=100000),2,0)+IF(AND(Y165&lt;&gt;"",V165=""),3,0)+IF(AND(Y165&lt;&gt;"",X165=""),2,0)+IF(AND(Y165&lt;&gt;"",Z165&gt;90),1,0))</f>
        <v/>
      </c>
      <c r="AK165" s="14">
        <f>IF(AJ165="","",IF(AJ165&gt;=10,"CRITICAL",IF(AJ165&gt;=6,"HIGH",IF(AJ165&gt;=3,"WATCH","LOW"))))</f>
        <v/>
      </c>
      <c r="AL165" s="20">
        <f>IF(AJ165="","",TRIM(IF(OR(C165="Major",C165="Systemic"),"major or systemic; ","")&amp;IF(AND(Y165="",S165&lt;&gt;"",TODAY()&gt;S165),"open past agreed date; ","")&amp;IF(AB165="Yes","authority or NOC linked; ","")&amp;IF(AG165="Yes","repeat of a previous NCR; ","")&amp;IF(AND(Y165="",AE165&gt;=14),"programme impact 14 days or more; ","")&amp;IF(AND(Y165="",AD165&gt;=100000),"cost impact AED 100,000 or more; ","")&amp;IF(AND(Y165&lt;&gt;"",V165=""),"closed with no verification date; ","")&amp;IF(AND(Y165&lt;&gt;"",X165=""),"closed without a closure certificate; ","")&amp;IF(AND(Y165&lt;&gt;"",Z165&gt;90),"closed more than 90 days after raising; ","")))</f>
        <v/>
      </c>
    </row>
    <row r="166">
      <c r="A166" s="10" t="n"/>
      <c r="B166" s="11" t="n"/>
      <c r="C166" s="12" t="n"/>
      <c r="D166" s="12" t="n"/>
      <c r="E166" s="12" t="n"/>
      <c r="F166" s="13" t="n"/>
      <c r="G166" s="13" t="n"/>
      <c r="H166" s="13" t="n"/>
      <c r="I166" s="13" t="n"/>
      <c r="J166" s="13" t="n"/>
      <c r="K166" s="13" t="n"/>
      <c r="L166" s="13" t="n"/>
      <c r="M166" s="11" t="n"/>
      <c r="N166" s="11" t="n"/>
      <c r="O166" s="12" t="n"/>
      <c r="P166" s="13" t="n"/>
      <c r="Q166" s="13" t="n"/>
      <c r="R166" s="13" t="n"/>
      <c r="S166" s="11" t="n"/>
      <c r="T166" s="11" t="n"/>
      <c r="U166" s="13" t="n"/>
      <c r="V166" s="11" t="n"/>
      <c r="W166" s="12" t="n"/>
      <c r="X166" s="12" t="n"/>
      <c r="Y166" s="11" t="n"/>
      <c r="Z166" s="14">
        <f>IF(A166="","",IF(Y166&lt;&gt;"",Y166-B166,TODAY()-B166))</f>
        <v/>
      </c>
      <c r="AA166" s="14">
        <f>IF(A166="","",IF(AND(Y166="",TODAY()&gt;S166),"OVERDUE",IF(AND(Y166&lt;&gt;"",Y166&gt;S166),"CLOSED LATE","")))</f>
        <v/>
      </c>
      <c r="AB166" s="12" t="n"/>
      <c r="AC166" s="13" t="n"/>
      <c r="AD166" s="21" t="n"/>
      <c r="AE166" s="12" t="n"/>
      <c r="AF166" s="14">
        <f>IF(A166="","",IF(Y166&lt;&gt;"","Closed",IF(TODAY()&gt;S166,"Overdue","Open")))</f>
        <v/>
      </c>
      <c r="AG166" s="12" t="n"/>
      <c r="AH166" s="13" t="n"/>
      <c r="AI166" s="12" t="n"/>
      <c r="AJ166" s="14">
        <f>IF(A166="","",IF(OR(C166="Major",C166="Systemic"),4,IF(C166="Minor",1,0))+IF(AND(Y166="",S166&lt;&gt;"",TODAY()&gt;S166),3,0)+IF(AB166="Yes",3,0)+IF(AG166="Yes",2,0)+IF(AND(Y166="",AE166&gt;=14),2,0)+IF(AND(Y166="",AD166&gt;=100000),2,0)+IF(AND(Y166&lt;&gt;"",V166=""),3,0)+IF(AND(Y166&lt;&gt;"",X166=""),2,0)+IF(AND(Y166&lt;&gt;"",Z166&gt;90),1,0))</f>
        <v/>
      </c>
      <c r="AK166" s="14">
        <f>IF(AJ166="","",IF(AJ166&gt;=10,"CRITICAL",IF(AJ166&gt;=6,"HIGH",IF(AJ166&gt;=3,"WATCH","LOW"))))</f>
        <v/>
      </c>
      <c r="AL166" s="20">
        <f>IF(AJ166="","",TRIM(IF(OR(C166="Major",C166="Systemic"),"major or systemic; ","")&amp;IF(AND(Y166="",S166&lt;&gt;"",TODAY()&gt;S166),"open past agreed date; ","")&amp;IF(AB166="Yes","authority or NOC linked; ","")&amp;IF(AG166="Yes","repeat of a previous NCR; ","")&amp;IF(AND(Y166="",AE166&gt;=14),"programme impact 14 days or more; ","")&amp;IF(AND(Y166="",AD166&gt;=100000),"cost impact AED 100,000 or more; ","")&amp;IF(AND(Y166&lt;&gt;"",V166=""),"closed with no verification date; ","")&amp;IF(AND(Y166&lt;&gt;"",X166=""),"closed without a closure certificate; ","")&amp;IF(AND(Y166&lt;&gt;"",Z166&gt;90),"closed more than 90 days after raising; ","")))</f>
        <v/>
      </c>
    </row>
    <row r="167">
      <c r="A167" s="10" t="n"/>
      <c r="B167" s="11" t="n"/>
      <c r="C167" s="12" t="n"/>
      <c r="D167" s="12" t="n"/>
      <c r="E167" s="12" t="n"/>
      <c r="F167" s="13" t="n"/>
      <c r="G167" s="13" t="n"/>
      <c r="H167" s="13" t="n"/>
      <c r="I167" s="13" t="n"/>
      <c r="J167" s="13" t="n"/>
      <c r="K167" s="13" t="n"/>
      <c r="L167" s="13" t="n"/>
      <c r="M167" s="11" t="n"/>
      <c r="N167" s="11" t="n"/>
      <c r="O167" s="12" t="n"/>
      <c r="P167" s="13" t="n"/>
      <c r="Q167" s="13" t="n"/>
      <c r="R167" s="13" t="n"/>
      <c r="S167" s="11" t="n"/>
      <c r="T167" s="11" t="n"/>
      <c r="U167" s="13" t="n"/>
      <c r="V167" s="11" t="n"/>
      <c r="W167" s="12" t="n"/>
      <c r="X167" s="12" t="n"/>
      <c r="Y167" s="11" t="n"/>
      <c r="Z167" s="14">
        <f>IF(A167="","",IF(Y167&lt;&gt;"",Y167-B167,TODAY()-B167))</f>
        <v/>
      </c>
      <c r="AA167" s="14">
        <f>IF(A167="","",IF(AND(Y167="",TODAY()&gt;S167),"OVERDUE",IF(AND(Y167&lt;&gt;"",Y167&gt;S167),"CLOSED LATE","")))</f>
        <v/>
      </c>
      <c r="AB167" s="12" t="n"/>
      <c r="AC167" s="13" t="n"/>
      <c r="AD167" s="21" t="n"/>
      <c r="AE167" s="12" t="n"/>
      <c r="AF167" s="14">
        <f>IF(A167="","",IF(Y167&lt;&gt;"","Closed",IF(TODAY()&gt;S167,"Overdue","Open")))</f>
        <v/>
      </c>
      <c r="AG167" s="12" t="n"/>
      <c r="AH167" s="13" t="n"/>
      <c r="AI167" s="12" t="n"/>
      <c r="AJ167" s="14">
        <f>IF(A167="","",IF(OR(C167="Major",C167="Systemic"),4,IF(C167="Minor",1,0))+IF(AND(Y167="",S167&lt;&gt;"",TODAY()&gt;S167),3,0)+IF(AB167="Yes",3,0)+IF(AG167="Yes",2,0)+IF(AND(Y167="",AE167&gt;=14),2,0)+IF(AND(Y167="",AD167&gt;=100000),2,0)+IF(AND(Y167&lt;&gt;"",V167=""),3,0)+IF(AND(Y167&lt;&gt;"",X167=""),2,0)+IF(AND(Y167&lt;&gt;"",Z167&gt;90),1,0))</f>
        <v/>
      </c>
      <c r="AK167" s="14">
        <f>IF(AJ167="","",IF(AJ167&gt;=10,"CRITICAL",IF(AJ167&gt;=6,"HIGH",IF(AJ167&gt;=3,"WATCH","LOW"))))</f>
        <v/>
      </c>
      <c r="AL167" s="20">
        <f>IF(AJ167="","",TRIM(IF(OR(C167="Major",C167="Systemic"),"major or systemic; ","")&amp;IF(AND(Y167="",S167&lt;&gt;"",TODAY()&gt;S167),"open past agreed date; ","")&amp;IF(AB167="Yes","authority or NOC linked; ","")&amp;IF(AG167="Yes","repeat of a previous NCR; ","")&amp;IF(AND(Y167="",AE167&gt;=14),"programme impact 14 days or more; ","")&amp;IF(AND(Y167="",AD167&gt;=100000),"cost impact AED 100,000 or more; ","")&amp;IF(AND(Y167&lt;&gt;"",V167=""),"closed with no verification date; ","")&amp;IF(AND(Y167&lt;&gt;"",X167=""),"closed without a closure certificate; ","")&amp;IF(AND(Y167&lt;&gt;"",Z167&gt;90),"closed more than 90 days after raising; ","")))</f>
        <v/>
      </c>
    </row>
    <row r="168">
      <c r="A168" s="10" t="n"/>
      <c r="B168" s="11" t="n"/>
      <c r="C168" s="12" t="n"/>
      <c r="D168" s="12" t="n"/>
      <c r="E168" s="12" t="n"/>
      <c r="F168" s="13" t="n"/>
      <c r="G168" s="13" t="n"/>
      <c r="H168" s="13" t="n"/>
      <c r="I168" s="13" t="n"/>
      <c r="J168" s="13" t="n"/>
      <c r="K168" s="13" t="n"/>
      <c r="L168" s="13" t="n"/>
      <c r="M168" s="11" t="n"/>
      <c r="N168" s="11" t="n"/>
      <c r="O168" s="12" t="n"/>
      <c r="P168" s="13" t="n"/>
      <c r="Q168" s="13" t="n"/>
      <c r="R168" s="13" t="n"/>
      <c r="S168" s="11" t="n"/>
      <c r="T168" s="11" t="n"/>
      <c r="U168" s="13" t="n"/>
      <c r="V168" s="11" t="n"/>
      <c r="W168" s="12" t="n"/>
      <c r="X168" s="12" t="n"/>
      <c r="Y168" s="11" t="n"/>
      <c r="Z168" s="14">
        <f>IF(A168="","",IF(Y168&lt;&gt;"",Y168-B168,TODAY()-B168))</f>
        <v/>
      </c>
      <c r="AA168" s="14">
        <f>IF(A168="","",IF(AND(Y168="",TODAY()&gt;S168),"OVERDUE",IF(AND(Y168&lt;&gt;"",Y168&gt;S168),"CLOSED LATE","")))</f>
        <v/>
      </c>
      <c r="AB168" s="12" t="n"/>
      <c r="AC168" s="13" t="n"/>
      <c r="AD168" s="21" t="n"/>
      <c r="AE168" s="12" t="n"/>
      <c r="AF168" s="14">
        <f>IF(A168="","",IF(Y168&lt;&gt;"","Closed",IF(TODAY()&gt;S168,"Overdue","Open")))</f>
        <v/>
      </c>
      <c r="AG168" s="12" t="n"/>
      <c r="AH168" s="13" t="n"/>
      <c r="AI168" s="12" t="n"/>
      <c r="AJ168" s="14">
        <f>IF(A168="","",IF(OR(C168="Major",C168="Systemic"),4,IF(C168="Minor",1,0))+IF(AND(Y168="",S168&lt;&gt;"",TODAY()&gt;S168),3,0)+IF(AB168="Yes",3,0)+IF(AG168="Yes",2,0)+IF(AND(Y168="",AE168&gt;=14),2,0)+IF(AND(Y168="",AD168&gt;=100000),2,0)+IF(AND(Y168&lt;&gt;"",V168=""),3,0)+IF(AND(Y168&lt;&gt;"",X168=""),2,0)+IF(AND(Y168&lt;&gt;"",Z168&gt;90),1,0))</f>
        <v/>
      </c>
      <c r="AK168" s="14">
        <f>IF(AJ168="","",IF(AJ168&gt;=10,"CRITICAL",IF(AJ168&gt;=6,"HIGH",IF(AJ168&gt;=3,"WATCH","LOW"))))</f>
        <v/>
      </c>
      <c r="AL168" s="20">
        <f>IF(AJ168="","",TRIM(IF(OR(C168="Major",C168="Systemic"),"major or systemic; ","")&amp;IF(AND(Y168="",S168&lt;&gt;"",TODAY()&gt;S168),"open past agreed date; ","")&amp;IF(AB168="Yes","authority or NOC linked; ","")&amp;IF(AG168="Yes","repeat of a previous NCR; ","")&amp;IF(AND(Y168="",AE168&gt;=14),"programme impact 14 days or more; ","")&amp;IF(AND(Y168="",AD168&gt;=100000),"cost impact AED 100,000 or more; ","")&amp;IF(AND(Y168&lt;&gt;"",V168=""),"closed with no verification date; ","")&amp;IF(AND(Y168&lt;&gt;"",X168=""),"closed without a closure certificate; ","")&amp;IF(AND(Y168&lt;&gt;"",Z168&gt;90),"closed more than 90 days after raising; ","")))</f>
        <v/>
      </c>
    </row>
    <row r="169">
      <c r="A169" s="10" t="n"/>
      <c r="B169" s="11" t="n"/>
      <c r="C169" s="12" t="n"/>
      <c r="D169" s="12" t="n"/>
      <c r="E169" s="12" t="n"/>
      <c r="F169" s="13" t="n"/>
      <c r="G169" s="13" t="n"/>
      <c r="H169" s="13" t="n"/>
      <c r="I169" s="13" t="n"/>
      <c r="J169" s="13" t="n"/>
      <c r="K169" s="13" t="n"/>
      <c r="L169" s="13" t="n"/>
      <c r="M169" s="11" t="n"/>
      <c r="N169" s="11" t="n"/>
      <c r="O169" s="12" t="n"/>
      <c r="P169" s="13" t="n"/>
      <c r="Q169" s="13" t="n"/>
      <c r="R169" s="13" t="n"/>
      <c r="S169" s="11" t="n"/>
      <c r="T169" s="11" t="n"/>
      <c r="U169" s="13" t="n"/>
      <c r="V169" s="11" t="n"/>
      <c r="W169" s="12" t="n"/>
      <c r="X169" s="12" t="n"/>
      <c r="Y169" s="11" t="n"/>
      <c r="Z169" s="14">
        <f>IF(A169="","",IF(Y169&lt;&gt;"",Y169-B169,TODAY()-B169))</f>
        <v/>
      </c>
      <c r="AA169" s="14">
        <f>IF(A169="","",IF(AND(Y169="",TODAY()&gt;S169),"OVERDUE",IF(AND(Y169&lt;&gt;"",Y169&gt;S169),"CLOSED LATE","")))</f>
        <v/>
      </c>
      <c r="AB169" s="12" t="n"/>
      <c r="AC169" s="13" t="n"/>
      <c r="AD169" s="21" t="n"/>
      <c r="AE169" s="12" t="n"/>
      <c r="AF169" s="14">
        <f>IF(A169="","",IF(Y169&lt;&gt;"","Closed",IF(TODAY()&gt;S169,"Overdue","Open")))</f>
        <v/>
      </c>
      <c r="AG169" s="12" t="n"/>
      <c r="AH169" s="13" t="n"/>
      <c r="AI169" s="12" t="n"/>
      <c r="AJ169" s="14">
        <f>IF(A169="","",IF(OR(C169="Major",C169="Systemic"),4,IF(C169="Minor",1,0))+IF(AND(Y169="",S169&lt;&gt;"",TODAY()&gt;S169),3,0)+IF(AB169="Yes",3,0)+IF(AG169="Yes",2,0)+IF(AND(Y169="",AE169&gt;=14),2,0)+IF(AND(Y169="",AD169&gt;=100000),2,0)+IF(AND(Y169&lt;&gt;"",V169=""),3,0)+IF(AND(Y169&lt;&gt;"",X169=""),2,0)+IF(AND(Y169&lt;&gt;"",Z169&gt;90),1,0))</f>
        <v/>
      </c>
      <c r="AK169" s="14">
        <f>IF(AJ169="","",IF(AJ169&gt;=10,"CRITICAL",IF(AJ169&gt;=6,"HIGH",IF(AJ169&gt;=3,"WATCH","LOW"))))</f>
        <v/>
      </c>
      <c r="AL169" s="20">
        <f>IF(AJ169="","",TRIM(IF(OR(C169="Major",C169="Systemic"),"major or systemic; ","")&amp;IF(AND(Y169="",S169&lt;&gt;"",TODAY()&gt;S169),"open past agreed date; ","")&amp;IF(AB169="Yes","authority or NOC linked; ","")&amp;IF(AG169="Yes","repeat of a previous NCR; ","")&amp;IF(AND(Y169="",AE169&gt;=14),"programme impact 14 days or more; ","")&amp;IF(AND(Y169="",AD169&gt;=100000),"cost impact AED 100,000 or more; ","")&amp;IF(AND(Y169&lt;&gt;"",V169=""),"closed with no verification date; ","")&amp;IF(AND(Y169&lt;&gt;"",X169=""),"closed without a closure certificate; ","")&amp;IF(AND(Y169&lt;&gt;"",Z169&gt;90),"closed more than 90 days after raising; ","")))</f>
        <v/>
      </c>
    </row>
    <row r="170">
      <c r="A170" s="10" t="n"/>
      <c r="B170" s="11" t="n"/>
      <c r="C170" s="12" t="n"/>
      <c r="D170" s="12" t="n"/>
      <c r="E170" s="12" t="n"/>
      <c r="F170" s="13" t="n"/>
      <c r="G170" s="13" t="n"/>
      <c r="H170" s="13" t="n"/>
      <c r="I170" s="13" t="n"/>
      <c r="J170" s="13" t="n"/>
      <c r="K170" s="13" t="n"/>
      <c r="L170" s="13" t="n"/>
      <c r="M170" s="11" t="n"/>
      <c r="N170" s="11" t="n"/>
      <c r="O170" s="12" t="n"/>
      <c r="P170" s="13" t="n"/>
      <c r="Q170" s="13" t="n"/>
      <c r="R170" s="13" t="n"/>
      <c r="S170" s="11" t="n"/>
      <c r="T170" s="11" t="n"/>
      <c r="U170" s="13" t="n"/>
      <c r="V170" s="11" t="n"/>
      <c r="W170" s="12" t="n"/>
      <c r="X170" s="12" t="n"/>
      <c r="Y170" s="11" t="n"/>
      <c r="Z170" s="14">
        <f>IF(A170="","",IF(Y170&lt;&gt;"",Y170-B170,TODAY()-B170))</f>
        <v/>
      </c>
      <c r="AA170" s="14">
        <f>IF(A170="","",IF(AND(Y170="",TODAY()&gt;S170),"OVERDUE",IF(AND(Y170&lt;&gt;"",Y170&gt;S170),"CLOSED LATE","")))</f>
        <v/>
      </c>
      <c r="AB170" s="12" t="n"/>
      <c r="AC170" s="13" t="n"/>
      <c r="AD170" s="21" t="n"/>
      <c r="AE170" s="12" t="n"/>
      <c r="AF170" s="14">
        <f>IF(A170="","",IF(Y170&lt;&gt;"","Closed",IF(TODAY()&gt;S170,"Overdue","Open")))</f>
        <v/>
      </c>
      <c r="AG170" s="12" t="n"/>
      <c r="AH170" s="13" t="n"/>
      <c r="AI170" s="12" t="n"/>
      <c r="AJ170" s="14">
        <f>IF(A170="","",IF(OR(C170="Major",C170="Systemic"),4,IF(C170="Minor",1,0))+IF(AND(Y170="",S170&lt;&gt;"",TODAY()&gt;S170),3,0)+IF(AB170="Yes",3,0)+IF(AG170="Yes",2,0)+IF(AND(Y170="",AE170&gt;=14),2,0)+IF(AND(Y170="",AD170&gt;=100000),2,0)+IF(AND(Y170&lt;&gt;"",V170=""),3,0)+IF(AND(Y170&lt;&gt;"",X170=""),2,0)+IF(AND(Y170&lt;&gt;"",Z170&gt;90),1,0))</f>
        <v/>
      </c>
      <c r="AK170" s="14">
        <f>IF(AJ170="","",IF(AJ170&gt;=10,"CRITICAL",IF(AJ170&gt;=6,"HIGH",IF(AJ170&gt;=3,"WATCH","LOW"))))</f>
        <v/>
      </c>
      <c r="AL170" s="20">
        <f>IF(AJ170="","",TRIM(IF(OR(C170="Major",C170="Systemic"),"major or systemic; ","")&amp;IF(AND(Y170="",S170&lt;&gt;"",TODAY()&gt;S170),"open past agreed date; ","")&amp;IF(AB170="Yes","authority or NOC linked; ","")&amp;IF(AG170="Yes","repeat of a previous NCR; ","")&amp;IF(AND(Y170="",AE170&gt;=14),"programme impact 14 days or more; ","")&amp;IF(AND(Y170="",AD170&gt;=100000),"cost impact AED 100,000 or more; ","")&amp;IF(AND(Y170&lt;&gt;"",V170=""),"closed with no verification date; ","")&amp;IF(AND(Y170&lt;&gt;"",X170=""),"closed without a closure certificate; ","")&amp;IF(AND(Y170&lt;&gt;"",Z170&gt;90),"closed more than 90 days after raising; ","")))</f>
        <v/>
      </c>
    </row>
    <row r="171">
      <c r="A171" s="10" t="n"/>
      <c r="B171" s="11" t="n"/>
      <c r="C171" s="12" t="n"/>
      <c r="D171" s="12" t="n"/>
      <c r="E171" s="12" t="n"/>
      <c r="F171" s="13" t="n"/>
      <c r="G171" s="13" t="n"/>
      <c r="H171" s="13" t="n"/>
      <c r="I171" s="13" t="n"/>
      <c r="J171" s="13" t="n"/>
      <c r="K171" s="13" t="n"/>
      <c r="L171" s="13" t="n"/>
      <c r="M171" s="11" t="n"/>
      <c r="N171" s="11" t="n"/>
      <c r="O171" s="12" t="n"/>
      <c r="P171" s="13" t="n"/>
      <c r="Q171" s="13" t="n"/>
      <c r="R171" s="13" t="n"/>
      <c r="S171" s="11" t="n"/>
      <c r="T171" s="11" t="n"/>
      <c r="U171" s="13" t="n"/>
      <c r="V171" s="11" t="n"/>
      <c r="W171" s="12" t="n"/>
      <c r="X171" s="12" t="n"/>
      <c r="Y171" s="11" t="n"/>
      <c r="Z171" s="14">
        <f>IF(A171="","",IF(Y171&lt;&gt;"",Y171-B171,TODAY()-B171))</f>
        <v/>
      </c>
      <c r="AA171" s="14">
        <f>IF(A171="","",IF(AND(Y171="",TODAY()&gt;S171),"OVERDUE",IF(AND(Y171&lt;&gt;"",Y171&gt;S171),"CLOSED LATE","")))</f>
        <v/>
      </c>
      <c r="AB171" s="12" t="n"/>
      <c r="AC171" s="13" t="n"/>
      <c r="AD171" s="21" t="n"/>
      <c r="AE171" s="12" t="n"/>
      <c r="AF171" s="14">
        <f>IF(A171="","",IF(Y171&lt;&gt;"","Closed",IF(TODAY()&gt;S171,"Overdue","Open")))</f>
        <v/>
      </c>
      <c r="AG171" s="12" t="n"/>
      <c r="AH171" s="13" t="n"/>
      <c r="AI171" s="12" t="n"/>
      <c r="AJ171" s="14">
        <f>IF(A171="","",IF(OR(C171="Major",C171="Systemic"),4,IF(C171="Minor",1,0))+IF(AND(Y171="",S171&lt;&gt;"",TODAY()&gt;S171),3,0)+IF(AB171="Yes",3,0)+IF(AG171="Yes",2,0)+IF(AND(Y171="",AE171&gt;=14),2,0)+IF(AND(Y171="",AD171&gt;=100000),2,0)+IF(AND(Y171&lt;&gt;"",V171=""),3,0)+IF(AND(Y171&lt;&gt;"",X171=""),2,0)+IF(AND(Y171&lt;&gt;"",Z171&gt;90),1,0))</f>
        <v/>
      </c>
      <c r="AK171" s="14">
        <f>IF(AJ171="","",IF(AJ171&gt;=10,"CRITICAL",IF(AJ171&gt;=6,"HIGH",IF(AJ171&gt;=3,"WATCH","LOW"))))</f>
        <v/>
      </c>
      <c r="AL171" s="20">
        <f>IF(AJ171="","",TRIM(IF(OR(C171="Major",C171="Systemic"),"major or systemic; ","")&amp;IF(AND(Y171="",S171&lt;&gt;"",TODAY()&gt;S171),"open past agreed date; ","")&amp;IF(AB171="Yes","authority or NOC linked; ","")&amp;IF(AG171="Yes","repeat of a previous NCR; ","")&amp;IF(AND(Y171="",AE171&gt;=14),"programme impact 14 days or more; ","")&amp;IF(AND(Y171="",AD171&gt;=100000),"cost impact AED 100,000 or more; ","")&amp;IF(AND(Y171&lt;&gt;"",V171=""),"closed with no verification date; ","")&amp;IF(AND(Y171&lt;&gt;"",X171=""),"closed without a closure certificate; ","")&amp;IF(AND(Y171&lt;&gt;"",Z171&gt;90),"closed more than 90 days after raising; ","")))</f>
        <v/>
      </c>
    </row>
    <row r="172">
      <c r="A172" s="10" t="n"/>
      <c r="B172" s="11" t="n"/>
      <c r="C172" s="12" t="n"/>
      <c r="D172" s="12" t="n"/>
      <c r="E172" s="12" t="n"/>
      <c r="F172" s="13" t="n"/>
      <c r="G172" s="13" t="n"/>
      <c r="H172" s="13" t="n"/>
      <c r="I172" s="13" t="n"/>
      <c r="J172" s="13" t="n"/>
      <c r="K172" s="13" t="n"/>
      <c r="L172" s="13" t="n"/>
      <c r="M172" s="11" t="n"/>
      <c r="N172" s="11" t="n"/>
      <c r="O172" s="12" t="n"/>
      <c r="P172" s="13" t="n"/>
      <c r="Q172" s="13" t="n"/>
      <c r="R172" s="13" t="n"/>
      <c r="S172" s="11" t="n"/>
      <c r="T172" s="11" t="n"/>
      <c r="U172" s="13" t="n"/>
      <c r="V172" s="11" t="n"/>
      <c r="W172" s="12" t="n"/>
      <c r="X172" s="12" t="n"/>
      <c r="Y172" s="11" t="n"/>
      <c r="Z172" s="14">
        <f>IF(A172="","",IF(Y172&lt;&gt;"",Y172-B172,TODAY()-B172))</f>
        <v/>
      </c>
      <c r="AA172" s="14">
        <f>IF(A172="","",IF(AND(Y172="",TODAY()&gt;S172),"OVERDUE",IF(AND(Y172&lt;&gt;"",Y172&gt;S172),"CLOSED LATE","")))</f>
        <v/>
      </c>
      <c r="AB172" s="12" t="n"/>
      <c r="AC172" s="13" t="n"/>
      <c r="AD172" s="21" t="n"/>
      <c r="AE172" s="12" t="n"/>
      <c r="AF172" s="14">
        <f>IF(A172="","",IF(Y172&lt;&gt;"","Closed",IF(TODAY()&gt;S172,"Overdue","Open")))</f>
        <v/>
      </c>
      <c r="AG172" s="12" t="n"/>
      <c r="AH172" s="13" t="n"/>
      <c r="AI172" s="12" t="n"/>
      <c r="AJ172" s="14">
        <f>IF(A172="","",IF(OR(C172="Major",C172="Systemic"),4,IF(C172="Minor",1,0))+IF(AND(Y172="",S172&lt;&gt;"",TODAY()&gt;S172),3,0)+IF(AB172="Yes",3,0)+IF(AG172="Yes",2,0)+IF(AND(Y172="",AE172&gt;=14),2,0)+IF(AND(Y172="",AD172&gt;=100000),2,0)+IF(AND(Y172&lt;&gt;"",V172=""),3,0)+IF(AND(Y172&lt;&gt;"",X172=""),2,0)+IF(AND(Y172&lt;&gt;"",Z172&gt;90),1,0))</f>
        <v/>
      </c>
      <c r="AK172" s="14">
        <f>IF(AJ172="","",IF(AJ172&gt;=10,"CRITICAL",IF(AJ172&gt;=6,"HIGH",IF(AJ172&gt;=3,"WATCH","LOW"))))</f>
        <v/>
      </c>
      <c r="AL172" s="20">
        <f>IF(AJ172="","",TRIM(IF(OR(C172="Major",C172="Systemic"),"major or systemic; ","")&amp;IF(AND(Y172="",S172&lt;&gt;"",TODAY()&gt;S172),"open past agreed date; ","")&amp;IF(AB172="Yes","authority or NOC linked; ","")&amp;IF(AG172="Yes","repeat of a previous NCR; ","")&amp;IF(AND(Y172="",AE172&gt;=14),"programme impact 14 days or more; ","")&amp;IF(AND(Y172="",AD172&gt;=100000),"cost impact AED 100,000 or more; ","")&amp;IF(AND(Y172&lt;&gt;"",V172=""),"closed with no verification date; ","")&amp;IF(AND(Y172&lt;&gt;"",X172=""),"closed without a closure certificate; ","")&amp;IF(AND(Y172&lt;&gt;"",Z172&gt;90),"closed more than 90 days after raising; ","")))</f>
        <v/>
      </c>
    </row>
    <row r="173">
      <c r="A173" s="10" t="n"/>
      <c r="B173" s="11" t="n"/>
      <c r="C173" s="12" t="n"/>
      <c r="D173" s="12" t="n"/>
      <c r="E173" s="12" t="n"/>
      <c r="F173" s="13" t="n"/>
      <c r="G173" s="13" t="n"/>
      <c r="H173" s="13" t="n"/>
      <c r="I173" s="13" t="n"/>
      <c r="J173" s="13" t="n"/>
      <c r="K173" s="13" t="n"/>
      <c r="L173" s="13" t="n"/>
      <c r="M173" s="11" t="n"/>
      <c r="N173" s="11" t="n"/>
      <c r="O173" s="12" t="n"/>
      <c r="P173" s="13" t="n"/>
      <c r="Q173" s="13" t="n"/>
      <c r="R173" s="13" t="n"/>
      <c r="S173" s="11" t="n"/>
      <c r="T173" s="11" t="n"/>
      <c r="U173" s="13" t="n"/>
      <c r="V173" s="11" t="n"/>
      <c r="W173" s="12" t="n"/>
      <c r="X173" s="12" t="n"/>
      <c r="Y173" s="11" t="n"/>
      <c r="Z173" s="14">
        <f>IF(A173="","",IF(Y173&lt;&gt;"",Y173-B173,TODAY()-B173))</f>
        <v/>
      </c>
      <c r="AA173" s="14">
        <f>IF(A173="","",IF(AND(Y173="",TODAY()&gt;S173),"OVERDUE",IF(AND(Y173&lt;&gt;"",Y173&gt;S173),"CLOSED LATE","")))</f>
        <v/>
      </c>
      <c r="AB173" s="12" t="n"/>
      <c r="AC173" s="13" t="n"/>
      <c r="AD173" s="21" t="n"/>
      <c r="AE173" s="12" t="n"/>
      <c r="AF173" s="14">
        <f>IF(A173="","",IF(Y173&lt;&gt;"","Closed",IF(TODAY()&gt;S173,"Overdue","Open")))</f>
        <v/>
      </c>
      <c r="AG173" s="12" t="n"/>
      <c r="AH173" s="13" t="n"/>
      <c r="AI173" s="12" t="n"/>
      <c r="AJ173" s="14">
        <f>IF(A173="","",IF(OR(C173="Major",C173="Systemic"),4,IF(C173="Minor",1,0))+IF(AND(Y173="",S173&lt;&gt;"",TODAY()&gt;S173),3,0)+IF(AB173="Yes",3,0)+IF(AG173="Yes",2,0)+IF(AND(Y173="",AE173&gt;=14),2,0)+IF(AND(Y173="",AD173&gt;=100000),2,0)+IF(AND(Y173&lt;&gt;"",V173=""),3,0)+IF(AND(Y173&lt;&gt;"",X173=""),2,0)+IF(AND(Y173&lt;&gt;"",Z173&gt;90),1,0))</f>
        <v/>
      </c>
      <c r="AK173" s="14">
        <f>IF(AJ173="","",IF(AJ173&gt;=10,"CRITICAL",IF(AJ173&gt;=6,"HIGH",IF(AJ173&gt;=3,"WATCH","LOW"))))</f>
        <v/>
      </c>
      <c r="AL173" s="20">
        <f>IF(AJ173="","",TRIM(IF(OR(C173="Major",C173="Systemic"),"major or systemic; ","")&amp;IF(AND(Y173="",S173&lt;&gt;"",TODAY()&gt;S173),"open past agreed date; ","")&amp;IF(AB173="Yes","authority or NOC linked; ","")&amp;IF(AG173="Yes","repeat of a previous NCR; ","")&amp;IF(AND(Y173="",AE173&gt;=14),"programme impact 14 days or more; ","")&amp;IF(AND(Y173="",AD173&gt;=100000),"cost impact AED 100,000 or more; ","")&amp;IF(AND(Y173&lt;&gt;"",V173=""),"closed with no verification date; ","")&amp;IF(AND(Y173&lt;&gt;"",X173=""),"closed without a closure certificate; ","")&amp;IF(AND(Y173&lt;&gt;"",Z173&gt;90),"closed more than 90 days after raising; ","")))</f>
        <v/>
      </c>
    </row>
    <row r="174">
      <c r="A174" s="10" t="n"/>
      <c r="B174" s="11" t="n"/>
      <c r="C174" s="12" t="n"/>
      <c r="D174" s="12" t="n"/>
      <c r="E174" s="12" t="n"/>
      <c r="F174" s="13" t="n"/>
      <c r="G174" s="13" t="n"/>
      <c r="H174" s="13" t="n"/>
      <c r="I174" s="13" t="n"/>
      <c r="J174" s="13" t="n"/>
      <c r="K174" s="13" t="n"/>
      <c r="L174" s="13" t="n"/>
      <c r="M174" s="11" t="n"/>
      <c r="N174" s="11" t="n"/>
      <c r="O174" s="12" t="n"/>
      <c r="P174" s="13" t="n"/>
      <c r="Q174" s="13" t="n"/>
      <c r="R174" s="13" t="n"/>
      <c r="S174" s="11" t="n"/>
      <c r="T174" s="11" t="n"/>
      <c r="U174" s="13" t="n"/>
      <c r="V174" s="11" t="n"/>
      <c r="W174" s="12" t="n"/>
      <c r="X174" s="12" t="n"/>
      <c r="Y174" s="11" t="n"/>
      <c r="Z174" s="14">
        <f>IF(A174="","",IF(Y174&lt;&gt;"",Y174-B174,TODAY()-B174))</f>
        <v/>
      </c>
      <c r="AA174" s="14">
        <f>IF(A174="","",IF(AND(Y174="",TODAY()&gt;S174),"OVERDUE",IF(AND(Y174&lt;&gt;"",Y174&gt;S174),"CLOSED LATE","")))</f>
        <v/>
      </c>
      <c r="AB174" s="12" t="n"/>
      <c r="AC174" s="13" t="n"/>
      <c r="AD174" s="21" t="n"/>
      <c r="AE174" s="12" t="n"/>
      <c r="AF174" s="14">
        <f>IF(A174="","",IF(Y174&lt;&gt;"","Closed",IF(TODAY()&gt;S174,"Overdue","Open")))</f>
        <v/>
      </c>
      <c r="AG174" s="12" t="n"/>
      <c r="AH174" s="13" t="n"/>
      <c r="AI174" s="12" t="n"/>
      <c r="AJ174" s="14">
        <f>IF(A174="","",IF(OR(C174="Major",C174="Systemic"),4,IF(C174="Minor",1,0))+IF(AND(Y174="",S174&lt;&gt;"",TODAY()&gt;S174),3,0)+IF(AB174="Yes",3,0)+IF(AG174="Yes",2,0)+IF(AND(Y174="",AE174&gt;=14),2,0)+IF(AND(Y174="",AD174&gt;=100000),2,0)+IF(AND(Y174&lt;&gt;"",V174=""),3,0)+IF(AND(Y174&lt;&gt;"",X174=""),2,0)+IF(AND(Y174&lt;&gt;"",Z174&gt;90),1,0))</f>
        <v/>
      </c>
      <c r="AK174" s="14">
        <f>IF(AJ174="","",IF(AJ174&gt;=10,"CRITICAL",IF(AJ174&gt;=6,"HIGH",IF(AJ174&gt;=3,"WATCH","LOW"))))</f>
        <v/>
      </c>
      <c r="AL174" s="20">
        <f>IF(AJ174="","",TRIM(IF(OR(C174="Major",C174="Systemic"),"major or systemic; ","")&amp;IF(AND(Y174="",S174&lt;&gt;"",TODAY()&gt;S174),"open past agreed date; ","")&amp;IF(AB174="Yes","authority or NOC linked; ","")&amp;IF(AG174="Yes","repeat of a previous NCR; ","")&amp;IF(AND(Y174="",AE174&gt;=14),"programme impact 14 days or more; ","")&amp;IF(AND(Y174="",AD174&gt;=100000),"cost impact AED 100,000 or more; ","")&amp;IF(AND(Y174&lt;&gt;"",V174=""),"closed with no verification date; ","")&amp;IF(AND(Y174&lt;&gt;"",X174=""),"closed without a closure certificate; ","")&amp;IF(AND(Y174&lt;&gt;"",Z174&gt;90),"closed more than 90 days after raising; ","")))</f>
        <v/>
      </c>
    </row>
    <row r="175">
      <c r="A175" s="10" t="n"/>
      <c r="B175" s="11" t="n"/>
      <c r="C175" s="12" t="n"/>
      <c r="D175" s="12" t="n"/>
      <c r="E175" s="12" t="n"/>
      <c r="F175" s="13" t="n"/>
      <c r="G175" s="13" t="n"/>
      <c r="H175" s="13" t="n"/>
      <c r="I175" s="13" t="n"/>
      <c r="J175" s="13" t="n"/>
      <c r="K175" s="13" t="n"/>
      <c r="L175" s="13" t="n"/>
      <c r="M175" s="11" t="n"/>
      <c r="N175" s="11" t="n"/>
      <c r="O175" s="12" t="n"/>
      <c r="P175" s="13" t="n"/>
      <c r="Q175" s="13" t="n"/>
      <c r="R175" s="13" t="n"/>
      <c r="S175" s="11" t="n"/>
      <c r="T175" s="11" t="n"/>
      <c r="U175" s="13" t="n"/>
      <c r="V175" s="11" t="n"/>
      <c r="W175" s="12" t="n"/>
      <c r="X175" s="12" t="n"/>
      <c r="Y175" s="11" t="n"/>
      <c r="Z175" s="14">
        <f>IF(A175="","",IF(Y175&lt;&gt;"",Y175-B175,TODAY()-B175))</f>
        <v/>
      </c>
      <c r="AA175" s="14">
        <f>IF(A175="","",IF(AND(Y175="",TODAY()&gt;S175),"OVERDUE",IF(AND(Y175&lt;&gt;"",Y175&gt;S175),"CLOSED LATE","")))</f>
        <v/>
      </c>
      <c r="AB175" s="12" t="n"/>
      <c r="AC175" s="13" t="n"/>
      <c r="AD175" s="21" t="n"/>
      <c r="AE175" s="12" t="n"/>
      <c r="AF175" s="14">
        <f>IF(A175="","",IF(Y175&lt;&gt;"","Closed",IF(TODAY()&gt;S175,"Overdue","Open")))</f>
        <v/>
      </c>
      <c r="AG175" s="12" t="n"/>
      <c r="AH175" s="13" t="n"/>
      <c r="AI175" s="12" t="n"/>
      <c r="AJ175" s="14">
        <f>IF(A175="","",IF(OR(C175="Major",C175="Systemic"),4,IF(C175="Minor",1,0))+IF(AND(Y175="",S175&lt;&gt;"",TODAY()&gt;S175),3,0)+IF(AB175="Yes",3,0)+IF(AG175="Yes",2,0)+IF(AND(Y175="",AE175&gt;=14),2,0)+IF(AND(Y175="",AD175&gt;=100000),2,0)+IF(AND(Y175&lt;&gt;"",V175=""),3,0)+IF(AND(Y175&lt;&gt;"",X175=""),2,0)+IF(AND(Y175&lt;&gt;"",Z175&gt;90),1,0))</f>
        <v/>
      </c>
      <c r="AK175" s="14">
        <f>IF(AJ175="","",IF(AJ175&gt;=10,"CRITICAL",IF(AJ175&gt;=6,"HIGH",IF(AJ175&gt;=3,"WATCH","LOW"))))</f>
        <v/>
      </c>
      <c r="AL175" s="20">
        <f>IF(AJ175="","",TRIM(IF(OR(C175="Major",C175="Systemic"),"major or systemic; ","")&amp;IF(AND(Y175="",S175&lt;&gt;"",TODAY()&gt;S175),"open past agreed date; ","")&amp;IF(AB175="Yes","authority or NOC linked; ","")&amp;IF(AG175="Yes","repeat of a previous NCR; ","")&amp;IF(AND(Y175="",AE175&gt;=14),"programme impact 14 days or more; ","")&amp;IF(AND(Y175="",AD175&gt;=100000),"cost impact AED 100,000 or more; ","")&amp;IF(AND(Y175&lt;&gt;"",V175=""),"closed with no verification date; ","")&amp;IF(AND(Y175&lt;&gt;"",X175=""),"closed without a closure certificate; ","")&amp;IF(AND(Y175&lt;&gt;"",Z175&gt;90),"closed more than 90 days after raising; ","")))</f>
        <v/>
      </c>
    </row>
    <row r="176">
      <c r="A176" s="10" t="n"/>
      <c r="B176" s="11" t="n"/>
      <c r="C176" s="12" t="n"/>
      <c r="D176" s="12" t="n"/>
      <c r="E176" s="12" t="n"/>
      <c r="F176" s="13" t="n"/>
      <c r="G176" s="13" t="n"/>
      <c r="H176" s="13" t="n"/>
      <c r="I176" s="13" t="n"/>
      <c r="J176" s="13" t="n"/>
      <c r="K176" s="13" t="n"/>
      <c r="L176" s="13" t="n"/>
      <c r="M176" s="11" t="n"/>
      <c r="N176" s="11" t="n"/>
      <c r="O176" s="12" t="n"/>
      <c r="P176" s="13" t="n"/>
      <c r="Q176" s="13" t="n"/>
      <c r="R176" s="13" t="n"/>
      <c r="S176" s="11" t="n"/>
      <c r="T176" s="11" t="n"/>
      <c r="U176" s="13" t="n"/>
      <c r="V176" s="11" t="n"/>
      <c r="W176" s="12" t="n"/>
      <c r="X176" s="12" t="n"/>
      <c r="Y176" s="11" t="n"/>
      <c r="Z176" s="14">
        <f>IF(A176="","",IF(Y176&lt;&gt;"",Y176-B176,TODAY()-B176))</f>
        <v/>
      </c>
      <c r="AA176" s="14">
        <f>IF(A176="","",IF(AND(Y176="",TODAY()&gt;S176),"OVERDUE",IF(AND(Y176&lt;&gt;"",Y176&gt;S176),"CLOSED LATE","")))</f>
        <v/>
      </c>
      <c r="AB176" s="12" t="n"/>
      <c r="AC176" s="13" t="n"/>
      <c r="AD176" s="21" t="n"/>
      <c r="AE176" s="12" t="n"/>
      <c r="AF176" s="14">
        <f>IF(A176="","",IF(Y176&lt;&gt;"","Closed",IF(TODAY()&gt;S176,"Overdue","Open")))</f>
        <v/>
      </c>
      <c r="AG176" s="12" t="n"/>
      <c r="AH176" s="13" t="n"/>
      <c r="AI176" s="12" t="n"/>
      <c r="AJ176" s="14">
        <f>IF(A176="","",IF(OR(C176="Major",C176="Systemic"),4,IF(C176="Minor",1,0))+IF(AND(Y176="",S176&lt;&gt;"",TODAY()&gt;S176),3,0)+IF(AB176="Yes",3,0)+IF(AG176="Yes",2,0)+IF(AND(Y176="",AE176&gt;=14),2,0)+IF(AND(Y176="",AD176&gt;=100000),2,0)+IF(AND(Y176&lt;&gt;"",V176=""),3,0)+IF(AND(Y176&lt;&gt;"",X176=""),2,0)+IF(AND(Y176&lt;&gt;"",Z176&gt;90),1,0))</f>
        <v/>
      </c>
      <c r="AK176" s="14">
        <f>IF(AJ176="","",IF(AJ176&gt;=10,"CRITICAL",IF(AJ176&gt;=6,"HIGH",IF(AJ176&gt;=3,"WATCH","LOW"))))</f>
        <v/>
      </c>
      <c r="AL176" s="20">
        <f>IF(AJ176="","",TRIM(IF(OR(C176="Major",C176="Systemic"),"major or systemic; ","")&amp;IF(AND(Y176="",S176&lt;&gt;"",TODAY()&gt;S176),"open past agreed date; ","")&amp;IF(AB176="Yes","authority or NOC linked; ","")&amp;IF(AG176="Yes","repeat of a previous NCR; ","")&amp;IF(AND(Y176="",AE176&gt;=14),"programme impact 14 days or more; ","")&amp;IF(AND(Y176="",AD176&gt;=100000),"cost impact AED 100,000 or more; ","")&amp;IF(AND(Y176&lt;&gt;"",V176=""),"closed with no verification date; ","")&amp;IF(AND(Y176&lt;&gt;"",X176=""),"closed without a closure certificate; ","")&amp;IF(AND(Y176&lt;&gt;"",Z176&gt;90),"closed more than 90 days after raising; ","")))</f>
        <v/>
      </c>
    </row>
    <row r="177">
      <c r="A177" s="10" t="n"/>
      <c r="B177" s="11" t="n"/>
      <c r="C177" s="12" t="n"/>
      <c r="D177" s="12" t="n"/>
      <c r="E177" s="12" t="n"/>
      <c r="F177" s="13" t="n"/>
      <c r="G177" s="13" t="n"/>
      <c r="H177" s="13" t="n"/>
      <c r="I177" s="13" t="n"/>
      <c r="J177" s="13" t="n"/>
      <c r="K177" s="13" t="n"/>
      <c r="L177" s="13" t="n"/>
      <c r="M177" s="11" t="n"/>
      <c r="N177" s="11" t="n"/>
      <c r="O177" s="12" t="n"/>
      <c r="P177" s="13" t="n"/>
      <c r="Q177" s="13" t="n"/>
      <c r="R177" s="13" t="n"/>
      <c r="S177" s="11" t="n"/>
      <c r="T177" s="11" t="n"/>
      <c r="U177" s="13" t="n"/>
      <c r="V177" s="11" t="n"/>
      <c r="W177" s="12" t="n"/>
      <c r="X177" s="12" t="n"/>
      <c r="Y177" s="11" t="n"/>
      <c r="Z177" s="14">
        <f>IF(A177="","",IF(Y177&lt;&gt;"",Y177-B177,TODAY()-B177))</f>
        <v/>
      </c>
      <c r="AA177" s="14">
        <f>IF(A177="","",IF(AND(Y177="",TODAY()&gt;S177),"OVERDUE",IF(AND(Y177&lt;&gt;"",Y177&gt;S177),"CLOSED LATE","")))</f>
        <v/>
      </c>
      <c r="AB177" s="12" t="n"/>
      <c r="AC177" s="13" t="n"/>
      <c r="AD177" s="21" t="n"/>
      <c r="AE177" s="12" t="n"/>
      <c r="AF177" s="14">
        <f>IF(A177="","",IF(Y177&lt;&gt;"","Closed",IF(TODAY()&gt;S177,"Overdue","Open")))</f>
        <v/>
      </c>
      <c r="AG177" s="12" t="n"/>
      <c r="AH177" s="13" t="n"/>
      <c r="AI177" s="12" t="n"/>
      <c r="AJ177" s="14">
        <f>IF(A177="","",IF(OR(C177="Major",C177="Systemic"),4,IF(C177="Minor",1,0))+IF(AND(Y177="",S177&lt;&gt;"",TODAY()&gt;S177),3,0)+IF(AB177="Yes",3,0)+IF(AG177="Yes",2,0)+IF(AND(Y177="",AE177&gt;=14),2,0)+IF(AND(Y177="",AD177&gt;=100000),2,0)+IF(AND(Y177&lt;&gt;"",V177=""),3,0)+IF(AND(Y177&lt;&gt;"",X177=""),2,0)+IF(AND(Y177&lt;&gt;"",Z177&gt;90),1,0))</f>
        <v/>
      </c>
      <c r="AK177" s="14">
        <f>IF(AJ177="","",IF(AJ177&gt;=10,"CRITICAL",IF(AJ177&gt;=6,"HIGH",IF(AJ177&gt;=3,"WATCH","LOW"))))</f>
        <v/>
      </c>
      <c r="AL177" s="20">
        <f>IF(AJ177="","",TRIM(IF(OR(C177="Major",C177="Systemic"),"major or systemic; ","")&amp;IF(AND(Y177="",S177&lt;&gt;"",TODAY()&gt;S177),"open past agreed date; ","")&amp;IF(AB177="Yes","authority or NOC linked; ","")&amp;IF(AG177="Yes","repeat of a previous NCR; ","")&amp;IF(AND(Y177="",AE177&gt;=14),"programme impact 14 days or more; ","")&amp;IF(AND(Y177="",AD177&gt;=100000),"cost impact AED 100,000 or more; ","")&amp;IF(AND(Y177&lt;&gt;"",V177=""),"closed with no verification date; ","")&amp;IF(AND(Y177&lt;&gt;"",X177=""),"closed without a closure certificate; ","")&amp;IF(AND(Y177&lt;&gt;"",Z177&gt;90),"closed more than 90 days after raising; ","")))</f>
        <v/>
      </c>
    </row>
    <row r="178">
      <c r="A178" s="10" t="n"/>
      <c r="B178" s="11" t="n"/>
      <c r="C178" s="12" t="n"/>
      <c r="D178" s="12" t="n"/>
      <c r="E178" s="12" t="n"/>
      <c r="F178" s="13" t="n"/>
      <c r="G178" s="13" t="n"/>
      <c r="H178" s="13" t="n"/>
      <c r="I178" s="13" t="n"/>
      <c r="J178" s="13" t="n"/>
      <c r="K178" s="13" t="n"/>
      <c r="L178" s="13" t="n"/>
      <c r="M178" s="11" t="n"/>
      <c r="N178" s="11" t="n"/>
      <c r="O178" s="12" t="n"/>
      <c r="P178" s="13" t="n"/>
      <c r="Q178" s="13" t="n"/>
      <c r="R178" s="13" t="n"/>
      <c r="S178" s="11" t="n"/>
      <c r="T178" s="11" t="n"/>
      <c r="U178" s="13" t="n"/>
      <c r="V178" s="11" t="n"/>
      <c r="W178" s="12" t="n"/>
      <c r="X178" s="12" t="n"/>
      <c r="Y178" s="11" t="n"/>
      <c r="Z178" s="14">
        <f>IF(A178="","",IF(Y178&lt;&gt;"",Y178-B178,TODAY()-B178))</f>
        <v/>
      </c>
      <c r="AA178" s="14">
        <f>IF(A178="","",IF(AND(Y178="",TODAY()&gt;S178),"OVERDUE",IF(AND(Y178&lt;&gt;"",Y178&gt;S178),"CLOSED LATE","")))</f>
        <v/>
      </c>
      <c r="AB178" s="12" t="n"/>
      <c r="AC178" s="13" t="n"/>
      <c r="AD178" s="21" t="n"/>
      <c r="AE178" s="12" t="n"/>
      <c r="AF178" s="14">
        <f>IF(A178="","",IF(Y178&lt;&gt;"","Closed",IF(TODAY()&gt;S178,"Overdue","Open")))</f>
        <v/>
      </c>
      <c r="AG178" s="12" t="n"/>
      <c r="AH178" s="13" t="n"/>
      <c r="AI178" s="12" t="n"/>
      <c r="AJ178" s="14">
        <f>IF(A178="","",IF(OR(C178="Major",C178="Systemic"),4,IF(C178="Minor",1,0))+IF(AND(Y178="",S178&lt;&gt;"",TODAY()&gt;S178),3,0)+IF(AB178="Yes",3,0)+IF(AG178="Yes",2,0)+IF(AND(Y178="",AE178&gt;=14),2,0)+IF(AND(Y178="",AD178&gt;=100000),2,0)+IF(AND(Y178&lt;&gt;"",V178=""),3,0)+IF(AND(Y178&lt;&gt;"",X178=""),2,0)+IF(AND(Y178&lt;&gt;"",Z178&gt;90),1,0))</f>
        <v/>
      </c>
      <c r="AK178" s="14">
        <f>IF(AJ178="","",IF(AJ178&gt;=10,"CRITICAL",IF(AJ178&gt;=6,"HIGH",IF(AJ178&gt;=3,"WATCH","LOW"))))</f>
        <v/>
      </c>
      <c r="AL178" s="20">
        <f>IF(AJ178="","",TRIM(IF(OR(C178="Major",C178="Systemic"),"major or systemic; ","")&amp;IF(AND(Y178="",S178&lt;&gt;"",TODAY()&gt;S178),"open past agreed date; ","")&amp;IF(AB178="Yes","authority or NOC linked; ","")&amp;IF(AG178="Yes","repeat of a previous NCR; ","")&amp;IF(AND(Y178="",AE178&gt;=14),"programme impact 14 days or more; ","")&amp;IF(AND(Y178="",AD178&gt;=100000),"cost impact AED 100,000 or more; ","")&amp;IF(AND(Y178&lt;&gt;"",V178=""),"closed with no verification date; ","")&amp;IF(AND(Y178&lt;&gt;"",X178=""),"closed without a closure certificate; ","")&amp;IF(AND(Y178&lt;&gt;"",Z178&gt;90),"closed more than 90 days after raising; ","")))</f>
        <v/>
      </c>
    </row>
    <row r="179">
      <c r="A179" s="10" t="n"/>
      <c r="B179" s="11" t="n"/>
      <c r="C179" s="12" t="n"/>
      <c r="D179" s="12" t="n"/>
      <c r="E179" s="12" t="n"/>
      <c r="F179" s="13" t="n"/>
      <c r="G179" s="13" t="n"/>
      <c r="H179" s="13" t="n"/>
      <c r="I179" s="13" t="n"/>
      <c r="J179" s="13" t="n"/>
      <c r="K179" s="13" t="n"/>
      <c r="L179" s="13" t="n"/>
      <c r="M179" s="11" t="n"/>
      <c r="N179" s="11" t="n"/>
      <c r="O179" s="12" t="n"/>
      <c r="P179" s="13" t="n"/>
      <c r="Q179" s="13" t="n"/>
      <c r="R179" s="13" t="n"/>
      <c r="S179" s="11" t="n"/>
      <c r="T179" s="11" t="n"/>
      <c r="U179" s="13" t="n"/>
      <c r="V179" s="11" t="n"/>
      <c r="W179" s="12" t="n"/>
      <c r="X179" s="12" t="n"/>
      <c r="Y179" s="11" t="n"/>
      <c r="Z179" s="14">
        <f>IF(A179="","",IF(Y179&lt;&gt;"",Y179-B179,TODAY()-B179))</f>
        <v/>
      </c>
      <c r="AA179" s="14">
        <f>IF(A179="","",IF(AND(Y179="",TODAY()&gt;S179),"OVERDUE",IF(AND(Y179&lt;&gt;"",Y179&gt;S179),"CLOSED LATE","")))</f>
        <v/>
      </c>
      <c r="AB179" s="12" t="n"/>
      <c r="AC179" s="13" t="n"/>
      <c r="AD179" s="21" t="n"/>
      <c r="AE179" s="12" t="n"/>
      <c r="AF179" s="14">
        <f>IF(A179="","",IF(Y179&lt;&gt;"","Closed",IF(TODAY()&gt;S179,"Overdue","Open")))</f>
        <v/>
      </c>
      <c r="AG179" s="12" t="n"/>
      <c r="AH179" s="13" t="n"/>
      <c r="AI179" s="12" t="n"/>
      <c r="AJ179" s="14">
        <f>IF(A179="","",IF(OR(C179="Major",C179="Systemic"),4,IF(C179="Minor",1,0))+IF(AND(Y179="",S179&lt;&gt;"",TODAY()&gt;S179),3,0)+IF(AB179="Yes",3,0)+IF(AG179="Yes",2,0)+IF(AND(Y179="",AE179&gt;=14),2,0)+IF(AND(Y179="",AD179&gt;=100000),2,0)+IF(AND(Y179&lt;&gt;"",V179=""),3,0)+IF(AND(Y179&lt;&gt;"",X179=""),2,0)+IF(AND(Y179&lt;&gt;"",Z179&gt;90),1,0))</f>
        <v/>
      </c>
      <c r="AK179" s="14">
        <f>IF(AJ179="","",IF(AJ179&gt;=10,"CRITICAL",IF(AJ179&gt;=6,"HIGH",IF(AJ179&gt;=3,"WATCH","LOW"))))</f>
        <v/>
      </c>
      <c r="AL179" s="20">
        <f>IF(AJ179="","",TRIM(IF(OR(C179="Major",C179="Systemic"),"major or systemic; ","")&amp;IF(AND(Y179="",S179&lt;&gt;"",TODAY()&gt;S179),"open past agreed date; ","")&amp;IF(AB179="Yes","authority or NOC linked; ","")&amp;IF(AG179="Yes","repeat of a previous NCR; ","")&amp;IF(AND(Y179="",AE179&gt;=14),"programme impact 14 days or more; ","")&amp;IF(AND(Y179="",AD179&gt;=100000),"cost impact AED 100,000 or more; ","")&amp;IF(AND(Y179&lt;&gt;"",V179=""),"closed with no verification date; ","")&amp;IF(AND(Y179&lt;&gt;"",X179=""),"closed without a closure certificate; ","")&amp;IF(AND(Y179&lt;&gt;"",Z179&gt;90),"closed more than 90 days after raising; ","")))</f>
        <v/>
      </c>
    </row>
    <row r="180">
      <c r="A180" s="10" t="n"/>
      <c r="B180" s="11" t="n"/>
      <c r="C180" s="12" t="n"/>
      <c r="D180" s="12" t="n"/>
      <c r="E180" s="12" t="n"/>
      <c r="F180" s="13" t="n"/>
      <c r="G180" s="13" t="n"/>
      <c r="H180" s="13" t="n"/>
      <c r="I180" s="13" t="n"/>
      <c r="J180" s="13" t="n"/>
      <c r="K180" s="13" t="n"/>
      <c r="L180" s="13" t="n"/>
      <c r="M180" s="11" t="n"/>
      <c r="N180" s="11" t="n"/>
      <c r="O180" s="12" t="n"/>
      <c r="P180" s="13" t="n"/>
      <c r="Q180" s="13" t="n"/>
      <c r="R180" s="13" t="n"/>
      <c r="S180" s="11" t="n"/>
      <c r="T180" s="11" t="n"/>
      <c r="U180" s="13" t="n"/>
      <c r="V180" s="11" t="n"/>
      <c r="W180" s="12" t="n"/>
      <c r="X180" s="12" t="n"/>
      <c r="Y180" s="11" t="n"/>
      <c r="Z180" s="14">
        <f>IF(A180="","",IF(Y180&lt;&gt;"",Y180-B180,TODAY()-B180))</f>
        <v/>
      </c>
      <c r="AA180" s="14">
        <f>IF(A180="","",IF(AND(Y180="",TODAY()&gt;S180),"OVERDUE",IF(AND(Y180&lt;&gt;"",Y180&gt;S180),"CLOSED LATE","")))</f>
        <v/>
      </c>
      <c r="AB180" s="12" t="n"/>
      <c r="AC180" s="13" t="n"/>
      <c r="AD180" s="21" t="n"/>
      <c r="AE180" s="12" t="n"/>
      <c r="AF180" s="14">
        <f>IF(A180="","",IF(Y180&lt;&gt;"","Closed",IF(TODAY()&gt;S180,"Overdue","Open")))</f>
        <v/>
      </c>
      <c r="AG180" s="12" t="n"/>
      <c r="AH180" s="13" t="n"/>
      <c r="AI180" s="12" t="n"/>
      <c r="AJ180" s="14">
        <f>IF(A180="","",IF(OR(C180="Major",C180="Systemic"),4,IF(C180="Minor",1,0))+IF(AND(Y180="",S180&lt;&gt;"",TODAY()&gt;S180),3,0)+IF(AB180="Yes",3,0)+IF(AG180="Yes",2,0)+IF(AND(Y180="",AE180&gt;=14),2,0)+IF(AND(Y180="",AD180&gt;=100000),2,0)+IF(AND(Y180&lt;&gt;"",V180=""),3,0)+IF(AND(Y180&lt;&gt;"",X180=""),2,0)+IF(AND(Y180&lt;&gt;"",Z180&gt;90),1,0))</f>
        <v/>
      </c>
      <c r="AK180" s="14">
        <f>IF(AJ180="","",IF(AJ180&gt;=10,"CRITICAL",IF(AJ180&gt;=6,"HIGH",IF(AJ180&gt;=3,"WATCH","LOW"))))</f>
        <v/>
      </c>
      <c r="AL180" s="20">
        <f>IF(AJ180="","",TRIM(IF(OR(C180="Major",C180="Systemic"),"major or systemic; ","")&amp;IF(AND(Y180="",S180&lt;&gt;"",TODAY()&gt;S180),"open past agreed date; ","")&amp;IF(AB180="Yes","authority or NOC linked; ","")&amp;IF(AG180="Yes","repeat of a previous NCR; ","")&amp;IF(AND(Y180="",AE180&gt;=14),"programme impact 14 days or more; ","")&amp;IF(AND(Y180="",AD180&gt;=100000),"cost impact AED 100,000 or more; ","")&amp;IF(AND(Y180&lt;&gt;"",V180=""),"closed with no verification date; ","")&amp;IF(AND(Y180&lt;&gt;"",X180=""),"closed without a closure certificate; ","")&amp;IF(AND(Y180&lt;&gt;"",Z180&gt;90),"closed more than 90 days after raising; ","")))</f>
        <v/>
      </c>
    </row>
    <row r="181">
      <c r="A181" s="10" t="n"/>
      <c r="B181" s="11" t="n"/>
      <c r="C181" s="12" t="n"/>
      <c r="D181" s="12" t="n"/>
      <c r="E181" s="12" t="n"/>
      <c r="F181" s="13" t="n"/>
      <c r="G181" s="13" t="n"/>
      <c r="H181" s="13" t="n"/>
      <c r="I181" s="13" t="n"/>
      <c r="J181" s="13" t="n"/>
      <c r="K181" s="13" t="n"/>
      <c r="L181" s="13" t="n"/>
      <c r="M181" s="11" t="n"/>
      <c r="N181" s="11" t="n"/>
      <c r="O181" s="12" t="n"/>
      <c r="P181" s="13" t="n"/>
      <c r="Q181" s="13" t="n"/>
      <c r="R181" s="13" t="n"/>
      <c r="S181" s="11" t="n"/>
      <c r="T181" s="11" t="n"/>
      <c r="U181" s="13" t="n"/>
      <c r="V181" s="11" t="n"/>
      <c r="W181" s="12" t="n"/>
      <c r="X181" s="12" t="n"/>
      <c r="Y181" s="11" t="n"/>
      <c r="Z181" s="14">
        <f>IF(A181="","",IF(Y181&lt;&gt;"",Y181-B181,TODAY()-B181))</f>
        <v/>
      </c>
      <c r="AA181" s="14">
        <f>IF(A181="","",IF(AND(Y181="",TODAY()&gt;S181),"OVERDUE",IF(AND(Y181&lt;&gt;"",Y181&gt;S181),"CLOSED LATE","")))</f>
        <v/>
      </c>
      <c r="AB181" s="12" t="n"/>
      <c r="AC181" s="13" t="n"/>
      <c r="AD181" s="21" t="n"/>
      <c r="AE181" s="12" t="n"/>
      <c r="AF181" s="14">
        <f>IF(A181="","",IF(Y181&lt;&gt;"","Closed",IF(TODAY()&gt;S181,"Overdue","Open")))</f>
        <v/>
      </c>
      <c r="AG181" s="12" t="n"/>
      <c r="AH181" s="13" t="n"/>
      <c r="AI181" s="12" t="n"/>
      <c r="AJ181" s="14">
        <f>IF(A181="","",IF(OR(C181="Major",C181="Systemic"),4,IF(C181="Minor",1,0))+IF(AND(Y181="",S181&lt;&gt;"",TODAY()&gt;S181),3,0)+IF(AB181="Yes",3,0)+IF(AG181="Yes",2,0)+IF(AND(Y181="",AE181&gt;=14),2,0)+IF(AND(Y181="",AD181&gt;=100000),2,0)+IF(AND(Y181&lt;&gt;"",V181=""),3,0)+IF(AND(Y181&lt;&gt;"",X181=""),2,0)+IF(AND(Y181&lt;&gt;"",Z181&gt;90),1,0))</f>
        <v/>
      </c>
      <c r="AK181" s="14">
        <f>IF(AJ181="","",IF(AJ181&gt;=10,"CRITICAL",IF(AJ181&gt;=6,"HIGH",IF(AJ181&gt;=3,"WATCH","LOW"))))</f>
        <v/>
      </c>
      <c r="AL181" s="20">
        <f>IF(AJ181="","",TRIM(IF(OR(C181="Major",C181="Systemic"),"major or systemic; ","")&amp;IF(AND(Y181="",S181&lt;&gt;"",TODAY()&gt;S181),"open past agreed date; ","")&amp;IF(AB181="Yes","authority or NOC linked; ","")&amp;IF(AG181="Yes","repeat of a previous NCR; ","")&amp;IF(AND(Y181="",AE181&gt;=14),"programme impact 14 days or more; ","")&amp;IF(AND(Y181="",AD181&gt;=100000),"cost impact AED 100,000 or more; ","")&amp;IF(AND(Y181&lt;&gt;"",V181=""),"closed with no verification date; ","")&amp;IF(AND(Y181&lt;&gt;"",X181=""),"closed without a closure certificate; ","")&amp;IF(AND(Y181&lt;&gt;"",Z181&gt;90),"closed more than 90 days after raising; ","")))</f>
        <v/>
      </c>
    </row>
    <row r="182">
      <c r="A182" s="10" t="n"/>
      <c r="B182" s="11" t="n"/>
      <c r="C182" s="12" t="n"/>
      <c r="D182" s="12" t="n"/>
      <c r="E182" s="12" t="n"/>
      <c r="F182" s="13" t="n"/>
      <c r="G182" s="13" t="n"/>
      <c r="H182" s="13" t="n"/>
      <c r="I182" s="13" t="n"/>
      <c r="J182" s="13" t="n"/>
      <c r="K182" s="13" t="n"/>
      <c r="L182" s="13" t="n"/>
      <c r="M182" s="11" t="n"/>
      <c r="N182" s="11" t="n"/>
      <c r="O182" s="12" t="n"/>
      <c r="P182" s="13" t="n"/>
      <c r="Q182" s="13" t="n"/>
      <c r="R182" s="13" t="n"/>
      <c r="S182" s="11" t="n"/>
      <c r="T182" s="11" t="n"/>
      <c r="U182" s="13" t="n"/>
      <c r="V182" s="11" t="n"/>
      <c r="W182" s="12" t="n"/>
      <c r="X182" s="12" t="n"/>
      <c r="Y182" s="11" t="n"/>
      <c r="Z182" s="14">
        <f>IF(A182="","",IF(Y182&lt;&gt;"",Y182-B182,TODAY()-B182))</f>
        <v/>
      </c>
      <c r="AA182" s="14">
        <f>IF(A182="","",IF(AND(Y182="",TODAY()&gt;S182),"OVERDUE",IF(AND(Y182&lt;&gt;"",Y182&gt;S182),"CLOSED LATE","")))</f>
        <v/>
      </c>
      <c r="AB182" s="12" t="n"/>
      <c r="AC182" s="13" t="n"/>
      <c r="AD182" s="21" t="n"/>
      <c r="AE182" s="12" t="n"/>
      <c r="AF182" s="14">
        <f>IF(A182="","",IF(Y182&lt;&gt;"","Closed",IF(TODAY()&gt;S182,"Overdue","Open")))</f>
        <v/>
      </c>
      <c r="AG182" s="12" t="n"/>
      <c r="AH182" s="13" t="n"/>
      <c r="AI182" s="12" t="n"/>
      <c r="AJ182" s="14">
        <f>IF(A182="","",IF(OR(C182="Major",C182="Systemic"),4,IF(C182="Minor",1,0))+IF(AND(Y182="",S182&lt;&gt;"",TODAY()&gt;S182),3,0)+IF(AB182="Yes",3,0)+IF(AG182="Yes",2,0)+IF(AND(Y182="",AE182&gt;=14),2,0)+IF(AND(Y182="",AD182&gt;=100000),2,0)+IF(AND(Y182&lt;&gt;"",V182=""),3,0)+IF(AND(Y182&lt;&gt;"",X182=""),2,0)+IF(AND(Y182&lt;&gt;"",Z182&gt;90),1,0))</f>
        <v/>
      </c>
      <c r="AK182" s="14">
        <f>IF(AJ182="","",IF(AJ182&gt;=10,"CRITICAL",IF(AJ182&gt;=6,"HIGH",IF(AJ182&gt;=3,"WATCH","LOW"))))</f>
        <v/>
      </c>
      <c r="AL182" s="20">
        <f>IF(AJ182="","",TRIM(IF(OR(C182="Major",C182="Systemic"),"major or systemic; ","")&amp;IF(AND(Y182="",S182&lt;&gt;"",TODAY()&gt;S182),"open past agreed date; ","")&amp;IF(AB182="Yes","authority or NOC linked; ","")&amp;IF(AG182="Yes","repeat of a previous NCR; ","")&amp;IF(AND(Y182="",AE182&gt;=14),"programme impact 14 days or more; ","")&amp;IF(AND(Y182="",AD182&gt;=100000),"cost impact AED 100,000 or more; ","")&amp;IF(AND(Y182&lt;&gt;"",V182=""),"closed with no verification date; ","")&amp;IF(AND(Y182&lt;&gt;"",X182=""),"closed without a closure certificate; ","")&amp;IF(AND(Y182&lt;&gt;"",Z182&gt;90),"closed more than 90 days after raising; ","")))</f>
        <v/>
      </c>
    </row>
    <row r="183">
      <c r="A183" s="10" t="n"/>
      <c r="B183" s="11" t="n"/>
      <c r="C183" s="12" t="n"/>
      <c r="D183" s="12" t="n"/>
      <c r="E183" s="12" t="n"/>
      <c r="F183" s="13" t="n"/>
      <c r="G183" s="13" t="n"/>
      <c r="H183" s="13" t="n"/>
      <c r="I183" s="13" t="n"/>
      <c r="J183" s="13" t="n"/>
      <c r="K183" s="13" t="n"/>
      <c r="L183" s="13" t="n"/>
      <c r="M183" s="11" t="n"/>
      <c r="N183" s="11" t="n"/>
      <c r="O183" s="12" t="n"/>
      <c r="P183" s="13" t="n"/>
      <c r="Q183" s="13" t="n"/>
      <c r="R183" s="13" t="n"/>
      <c r="S183" s="11" t="n"/>
      <c r="T183" s="11" t="n"/>
      <c r="U183" s="13" t="n"/>
      <c r="V183" s="11" t="n"/>
      <c r="W183" s="12" t="n"/>
      <c r="X183" s="12" t="n"/>
      <c r="Y183" s="11" t="n"/>
      <c r="Z183" s="14">
        <f>IF(A183="","",IF(Y183&lt;&gt;"",Y183-B183,TODAY()-B183))</f>
        <v/>
      </c>
      <c r="AA183" s="14">
        <f>IF(A183="","",IF(AND(Y183="",TODAY()&gt;S183),"OVERDUE",IF(AND(Y183&lt;&gt;"",Y183&gt;S183),"CLOSED LATE","")))</f>
        <v/>
      </c>
      <c r="AB183" s="12" t="n"/>
      <c r="AC183" s="13" t="n"/>
      <c r="AD183" s="21" t="n"/>
      <c r="AE183" s="12" t="n"/>
      <c r="AF183" s="14">
        <f>IF(A183="","",IF(Y183&lt;&gt;"","Closed",IF(TODAY()&gt;S183,"Overdue","Open")))</f>
        <v/>
      </c>
      <c r="AG183" s="12" t="n"/>
      <c r="AH183" s="13" t="n"/>
      <c r="AI183" s="12" t="n"/>
      <c r="AJ183" s="14">
        <f>IF(A183="","",IF(OR(C183="Major",C183="Systemic"),4,IF(C183="Minor",1,0))+IF(AND(Y183="",S183&lt;&gt;"",TODAY()&gt;S183),3,0)+IF(AB183="Yes",3,0)+IF(AG183="Yes",2,0)+IF(AND(Y183="",AE183&gt;=14),2,0)+IF(AND(Y183="",AD183&gt;=100000),2,0)+IF(AND(Y183&lt;&gt;"",V183=""),3,0)+IF(AND(Y183&lt;&gt;"",X183=""),2,0)+IF(AND(Y183&lt;&gt;"",Z183&gt;90),1,0))</f>
        <v/>
      </c>
      <c r="AK183" s="14">
        <f>IF(AJ183="","",IF(AJ183&gt;=10,"CRITICAL",IF(AJ183&gt;=6,"HIGH",IF(AJ183&gt;=3,"WATCH","LOW"))))</f>
        <v/>
      </c>
      <c r="AL183" s="20">
        <f>IF(AJ183="","",TRIM(IF(OR(C183="Major",C183="Systemic"),"major or systemic; ","")&amp;IF(AND(Y183="",S183&lt;&gt;"",TODAY()&gt;S183),"open past agreed date; ","")&amp;IF(AB183="Yes","authority or NOC linked; ","")&amp;IF(AG183="Yes","repeat of a previous NCR; ","")&amp;IF(AND(Y183="",AE183&gt;=14),"programme impact 14 days or more; ","")&amp;IF(AND(Y183="",AD183&gt;=100000),"cost impact AED 100,000 or more; ","")&amp;IF(AND(Y183&lt;&gt;"",V183=""),"closed with no verification date; ","")&amp;IF(AND(Y183&lt;&gt;"",X183=""),"closed without a closure certificate; ","")&amp;IF(AND(Y183&lt;&gt;"",Z183&gt;90),"closed more than 90 days after raising; ","")))</f>
        <v/>
      </c>
    </row>
    <row r="184">
      <c r="A184" s="10" t="n"/>
      <c r="B184" s="11" t="n"/>
      <c r="C184" s="12" t="n"/>
      <c r="D184" s="12" t="n"/>
      <c r="E184" s="12" t="n"/>
      <c r="F184" s="13" t="n"/>
      <c r="G184" s="13" t="n"/>
      <c r="H184" s="13" t="n"/>
      <c r="I184" s="13" t="n"/>
      <c r="J184" s="13" t="n"/>
      <c r="K184" s="13" t="n"/>
      <c r="L184" s="13" t="n"/>
      <c r="M184" s="11" t="n"/>
      <c r="N184" s="11" t="n"/>
      <c r="O184" s="12" t="n"/>
      <c r="P184" s="13" t="n"/>
      <c r="Q184" s="13" t="n"/>
      <c r="R184" s="13" t="n"/>
      <c r="S184" s="11" t="n"/>
      <c r="T184" s="11" t="n"/>
      <c r="U184" s="13" t="n"/>
      <c r="V184" s="11" t="n"/>
      <c r="W184" s="12" t="n"/>
      <c r="X184" s="12" t="n"/>
      <c r="Y184" s="11" t="n"/>
      <c r="Z184" s="14">
        <f>IF(A184="","",IF(Y184&lt;&gt;"",Y184-B184,TODAY()-B184))</f>
        <v/>
      </c>
      <c r="AA184" s="14">
        <f>IF(A184="","",IF(AND(Y184="",TODAY()&gt;S184),"OVERDUE",IF(AND(Y184&lt;&gt;"",Y184&gt;S184),"CLOSED LATE","")))</f>
        <v/>
      </c>
      <c r="AB184" s="12" t="n"/>
      <c r="AC184" s="13" t="n"/>
      <c r="AD184" s="21" t="n"/>
      <c r="AE184" s="12" t="n"/>
      <c r="AF184" s="14">
        <f>IF(A184="","",IF(Y184&lt;&gt;"","Closed",IF(TODAY()&gt;S184,"Overdue","Open")))</f>
        <v/>
      </c>
      <c r="AG184" s="12" t="n"/>
      <c r="AH184" s="13" t="n"/>
      <c r="AI184" s="12" t="n"/>
      <c r="AJ184" s="14">
        <f>IF(A184="","",IF(OR(C184="Major",C184="Systemic"),4,IF(C184="Minor",1,0))+IF(AND(Y184="",S184&lt;&gt;"",TODAY()&gt;S184),3,0)+IF(AB184="Yes",3,0)+IF(AG184="Yes",2,0)+IF(AND(Y184="",AE184&gt;=14),2,0)+IF(AND(Y184="",AD184&gt;=100000),2,0)+IF(AND(Y184&lt;&gt;"",V184=""),3,0)+IF(AND(Y184&lt;&gt;"",X184=""),2,0)+IF(AND(Y184&lt;&gt;"",Z184&gt;90),1,0))</f>
        <v/>
      </c>
      <c r="AK184" s="14">
        <f>IF(AJ184="","",IF(AJ184&gt;=10,"CRITICAL",IF(AJ184&gt;=6,"HIGH",IF(AJ184&gt;=3,"WATCH","LOW"))))</f>
        <v/>
      </c>
      <c r="AL184" s="20">
        <f>IF(AJ184="","",TRIM(IF(OR(C184="Major",C184="Systemic"),"major or systemic; ","")&amp;IF(AND(Y184="",S184&lt;&gt;"",TODAY()&gt;S184),"open past agreed date; ","")&amp;IF(AB184="Yes","authority or NOC linked; ","")&amp;IF(AG184="Yes","repeat of a previous NCR; ","")&amp;IF(AND(Y184="",AE184&gt;=14),"programme impact 14 days or more; ","")&amp;IF(AND(Y184="",AD184&gt;=100000),"cost impact AED 100,000 or more; ","")&amp;IF(AND(Y184&lt;&gt;"",V184=""),"closed with no verification date; ","")&amp;IF(AND(Y184&lt;&gt;"",X184=""),"closed without a closure certificate; ","")&amp;IF(AND(Y184&lt;&gt;"",Z184&gt;90),"closed more than 90 days after raising; ","")))</f>
        <v/>
      </c>
    </row>
    <row r="185">
      <c r="A185" s="10" t="n"/>
      <c r="B185" s="11" t="n"/>
      <c r="C185" s="12" t="n"/>
      <c r="D185" s="12" t="n"/>
      <c r="E185" s="12" t="n"/>
      <c r="F185" s="13" t="n"/>
      <c r="G185" s="13" t="n"/>
      <c r="H185" s="13" t="n"/>
      <c r="I185" s="13" t="n"/>
      <c r="J185" s="13" t="n"/>
      <c r="K185" s="13" t="n"/>
      <c r="L185" s="13" t="n"/>
      <c r="M185" s="11" t="n"/>
      <c r="N185" s="11" t="n"/>
      <c r="O185" s="12" t="n"/>
      <c r="P185" s="13" t="n"/>
      <c r="Q185" s="13" t="n"/>
      <c r="R185" s="13" t="n"/>
      <c r="S185" s="11" t="n"/>
      <c r="T185" s="11" t="n"/>
      <c r="U185" s="13" t="n"/>
      <c r="V185" s="11" t="n"/>
      <c r="W185" s="12" t="n"/>
      <c r="X185" s="12" t="n"/>
      <c r="Y185" s="11" t="n"/>
      <c r="Z185" s="14">
        <f>IF(A185="","",IF(Y185&lt;&gt;"",Y185-B185,TODAY()-B185))</f>
        <v/>
      </c>
      <c r="AA185" s="14">
        <f>IF(A185="","",IF(AND(Y185="",TODAY()&gt;S185),"OVERDUE",IF(AND(Y185&lt;&gt;"",Y185&gt;S185),"CLOSED LATE","")))</f>
        <v/>
      </c>
      <c r="AB185" s="12" t="n"/>
      <c r="AC185" s="13" t="n"/>
      <c r="AD185" s="21" t="n"/>
      <c r="AE185" s="12" t="n"/>
      <c r="AF185" s="14">
        <f>IF(A185="","",IF(Y185&lt;&gt;"","Closed",IF(TODAY()&gt;S185,"Overdue","Open")))</f>
        <v/>
      </c>
      <c r="AG185" s="12" t="n"/>
      <c r="AH185" s="13" t="n"/>
      <c r="AI185" s="12" t="n"/>
      <c r="AJ185" s="14">
        <f>IF(A185="","",IF(OR(C185="Major",C185="Systemic"),4,IF(C185="Minor",1,0))+IF(AND(Y185="",S185&lt;&gt;"",TODAY()&gt;S185),3,0)+IF(AB185="Yes",3,0)+IF(AG185="Yes",2,0)+IF(AND(Y185="",AE185&gt;=14),2,0)+IF(AND(Y185="",AD185&gt;=100000),2,0)+IF(AND(Y185&lt;&gt;"",V185=""),3,0)+IF(AND(Y185&lt;&gt;"",X185=""),2,0)+IF(AND(Y185&lt;&gt;"",Z185&gt;90),1,0))</f>
        <v/>
      </c>
      <c r="AK185" s="14">
        <f>IF(AJ185="","",IF(AJ185&gt;=10,"CRITICAL",IF(AJ185&gt;=6,"HIGH",IF(AJ185&gt;=3,"WATCH","LOW"))))</f>
        <v/>
      </c>
      <c r="AL185" s="20">
        <f>IF(AJ185="","",TRIM(IF(OR(C185="Major",C185="Systemic"),"major or systemic; ","")&amp;IF(AND(Y185="",S185&lt;&gt;"",TODAY()&gt;S185),"open past agreed date; ","")&amp;IF(AB185="Yes","authority or NOC linked; ","")&amp;IF(AG185="Yes","repeat of a previous NCR; ","")&amp;IF(AND(Y185="",AE185&gt;=14),"programme impact 14 days or more; ","")&amp;IF(AND(Y185="",AD185&gt;=100000),"cost impact AED 100,000 or more; ","")&amp;IF(AND(Y185&lt;&gt;"",V185=""),"closed with no verification date; ","")&amp;IF(AND(Y185&lt;&gt;"",X185=""),"closed without a closure certificate; ","")&amp;IF(AND(Y185&lt;&gt;"",Z185&gt;90),"closed more than 90 days after raising; ","")))</f>
        <v/>
      </c>
    </row>
    <row r="186">
      <c r="A186" s="10" t="n"/>
      <c r="B186" s="11" t="n"/>
      <c r="C186" s="12" t="n"/>
      <c r="D186" s="12" t="n"/>
      <c r="E186" s="12" t="n"/>
      <c r="F186" s="13" t="n"/>
      <c r="G186" s="13" t="n"/>
      <c r="H186" s="13" t="n"/>
      <c r="I186" s="13" t="n"/>
      <c r="J186" s="13" t="n"/>
      <c r="K186" s="13" t="n"/>
      <c r="L186" s="13" t="n"/>
      <c r="M186" s="11" t="n"/>
      <c r="N186" s="11" t="n"/>
      <c r="O186" s="12" t="n"/>
      <c r="P186" s="13" t="n"/>
      <c r="Q186" s="13" t="n"/>
      <c r="R186" s="13" t="n"/>
      <c r="S186" s="11" t="n"/>
      <c r="T186" s="11" t="n"/>
      <c r="U186" s="13" t="n"/>
      <c r="V186" s="11" t="n"/>
      <c r="W186" s="12" t="n"/>
      <c r="X186" s="12" t="n"/>
      <c r="Y186" s="11" t="n"/>
      <c r="Z186" s="14">
        <f>IF(A186="","",IF(Y186&lt;&gt;"",Y186-B186,TODAY()-B186))</f>
        <v/>
      </c>
      <c r="AA186" s="14">
        <f>IF(A186="","",IF(AND(Y186="",TODAY()&gt;S186),"OVERDUE",IF(AND(Y186&lt;&gt;"",Y186&gt;S186),"CLOSED LATE","")))</f>
        <v/>
      </c>
      <c r="AB186" s="12" t="n"/>
      <c r="AC186" s="13" t="n"/>
      <c r="AD186" s="21" t="n"/>
      <c r="AE186" s="12" t="n"/>
      <c r="AF186" s="14">
        <f>IF(A186="","",IF(Y186&lt;&gt;"","Closed",IF(TODAY()&gt;S186,"Overdue","Open")))</f>
        <v/>
      </c>
      <c r="AG186" s="12" t="n"/>
      <c r="AH186" s="13" t="n"/>
      <c r="AI186" s="12" t="n"/>
      <c r="AJ186" s="14">
        <f>IF(A186="","",IF(OR(C186="Major",C186="Systemic"),4,IF(C186="Minor",1,0))+IF(AND(Y186="",S186&lt;&gt;"",TODAY()&gt;S186),3,0)+IF(AB186="Yes",3,0)+IF(AG186="Yes",2,0)+IF(AND(Y186="",AE186&gt;=14),2,0)+IF(AND(Y186="",AD186&gt;=100000),2,0)+IF(AND(Y186&lt;&gt;"",V186=""),3,0)+IF(AND(Y186&lt;&gt;"",X186=""),2,0)+IF(AND(Y186&lt;&gt;"",Z186&gt;90),1,0))</f>
        <v/>
      </c>
      <c r="AK186" s="14">
        <f>IF(AJ186="","",IF(AJ186&gt;=10,"CRITICAL",IF(AJ186&gt;=6,"HIGH",IF(AJ186&gt;=3,"WATCH","LOW"))))</f>
        <v/>
      </c>
      <c r="AL186" s="20">
        <f>IF(AJ186="","",TRIM(IF(OR(C186="Major",C186="Systemic"),"major or systemic; ","")&amp;IF(AND(Y186="",S186&lt;&gt;"",TODAY()&gt;S186),"open past agreed date; ","")&amp;IF(AB186="Yes","authority or NOC linked; ","")&amp;IF(AG186="Yes","repeat of a previous NCR; ","")&amp;IF(AND(Y186="",AE186&gt;=14),"programme impact 14 days or more; ","")&amp;IF(AND(Y186="",AD186&gt;=100000),"cost impact AED 100,000 or more; ","")&amp;IF(AND(Y186&lt;&gt;"",V186=""),"closed with no verification date; ","")&amp;IF(AND(Y186&lt;&gt;"",X186=""),"closed without a closure certificate; ","")&amp;IF(AND(Y186&lt;&gt;"",Z186&gt;90),"closed more than 90 days after raising; ","")))</f>
        <v/>
      </c>
    </row>
    <row r="187">
      <c r="A187" s="10" t="n"/>
      <c r="B187" s="11" t="n"/>
      <c r="C187" s="12" t="n"/>
      <c r="D187" s="12" t="n"/>
      <c r="E187" s="12" t="n"/>
      <c r="F187" s="13" t="n"/>
      <c r="G187" s="13" t="n"/>
      <c r="H187" s="13" t="n"/>
      <c r="I187" s="13" t="n"/>
      <c r="J187" s="13" t="n"/>
      <c r="K187" s="13" t="n"/>
      <c r="L187" s="13" t="n"/>
      <c r="M187" s="11" t="n"/>
      <c r="N187" s="11" t="n"/>
      <c r="O187" s="12" t="n"/>
      <c r="P187" s="13" t="n"/>
      <c r="Q187" s="13" t="n"/>
      <c r="R187" s="13" t="n"/>
      <c r="S187" s="11" t="n"/>
      <c r="T187" s="11" t="n"/>
      <c r="U187" s="13" t="n"/>
      <c r="V187" s="11" t="n"/>
      <c r="W187" s="12" t="n"/>
      <c r="X187" s="12" t="n"/>
      <c r="Y187" s="11" t="n"/>
      <c r="Z187" s="14">
        <f>IF(A187="","",IF(Y187&lt;&gt;"",Y187-B187,TODAY()-B187))</f>
        <v/>
      </c>
      <c r="AA187" s="14">
        <f>IF(A187="","",IF(AND(Y187="",TODAY()&gt;S187),"OVERDUE",IF(AND(Y187&lt;&gt;"",Y187&gt;S187),"CLOSED LATE","")))</f>
        <v/>
      </c>
      <c r="AB187" s="12" t="n"/>
      <c r="AC187" s="13" t="n"/>
      <c r="AD187" s="21" t="n"/>
      <c r="AE187" s="12" t="n"/>
      <c r="AF187" s="14">
        <f>IF(A187="","",IF(Y187&lt;&gt;"","Closed",IF(TODAY()&gt;S187,"Overdue","Open")))</f>
        <v/>
      </c>
      <c r="AG187" s="12" t="n"/>
      <c r="AH187" s="13" t="n"/>
      <c r="AI187" s="12" t="n"/>
      <c r="AJ187" s="14">
        <f>IF(A187="","",IF(OR(C187="Major",C187="Systemic"),4,IF(C187="Minor",1,0))+IF(AND(Y187="",S187&lt;&gt;"",TODAY()&gt;S187),3,0)+IF(AB187="Yes",3,0)+IF(AG187="Yes",2,0)+IF(AND(Y187="",AE187&gt;=14),2,0)+IF(AND(Y187="",AD187&gt;=100000),2,0)+IF(AND(Y187&lt;&gt;"",V187=""),3,0)+IF(AND(Y187&lt;&gt;"",X187=""),2,0)+IF(AND(Y187&lt;&gt;"",Z187&gt;90),1,0))</f>
        <v/>
      </c>
      <c r="AK187" s="14">
        <f>IF(AJ187="","",IF(AJ187&gt;=10,"CRITICAL",IF(AJ187&gt;=6,"HIGH",IF(AJ187&gt;=3,"WATCH","LOW"))))</f>
        <v/>
      </c>
      <c r="AL187" s="20">
        <f>IF(AJ187="","",TRIM(IF(OR(C187="Major",C187="Systemic"),"major or systemic; ","")&amp;IF(AND(Y187="",S187&lt;&gt;"",TODAY()&gt;S187),"open past agreed date; ","")&amp;IF(AB187="Yes","authority or NOC linked; ","")&amp;IF(AG187="Yes","repeat of a previous NCR; ","")&amp;IF(AND(Y187="",AE187&gt;=14),"programme impact 14 days or more; ","")&amp;IF(AND(Y187="",AD187&gt;=100000),"cost impact AED 100,000 or more; ","")&amp;IF(AND(Y187&lt;&gt;"",V187=""),"closed with no verification date; ","")&amp;IF(AND(Y187&lt;&gt;"",X187=""),"closed without a closure certificate; ","")&amp;IF(AND(Y187&lt;&gt;"",Z187&gt;90),"closed more than 90 days after raising; ","")))</f>
        <v/>
      </c>
    </row>
    <row r="188">
      <c r="A188" s="10" t="n"/>
      <c r="B188" s="11" t="n"/>
      <c r="C188" s="12" t="n"/>
      <c r="D188" s="12" t="n"/>
      <c r="E188" s="12" t="n"/>
      <c r="F188" s="13" t="n"/>
      <c r="G188" s="13" t="n"/>
      <c r="H188" s="13" t="n"/>
      <c r="I188" s="13" t="n"/>
      <c r="J188" s="13" t="n"/>
      <c r="K188" s="13" t="n"/>
      <c r="L188" s="13" t="n"/>
      <c r="M188" s="11" t="n"/>
      <c r="N188" s="11" t="n"/>
      <c r="O188" s="12" t="n"/>
      <c r="P188" s="13" t="n"/>
      <c r="Q188" s="13" t="n"/>
      <c r="R188" s="13" t="n"/>
      <c r="S188" s="11" t="n"/>
      <c r="T188" s="11" t="n"/>
      <c r="U188" s="13" t="n"/>
      <c r="V188" s="11" t="n"/>
      <c r="W188" s="12" t="n"/>
      <c r="X188" s="12" t="n"/>
      <c r="Y188" s="11" t="n"/>
      <c r="Z188" s="14">
        <f>IF(A188="","",IF(Y188&lt;&gt;"",Y188-B188,TODAY()-B188))</f>
        <v/>
      </c>
      <c r="AA188" s="14">
        <f>IF(A188="","",IF(AND(Y188="",TODAY()&gt;S188),"OVERDUE",IF(AND(Y188&lt;&gt;"",Y188&gt;S188),"CLOSED LATE","")))</f>
        <v/>
      </c>
      <c r="AB188" s="12" t="n"/>
      <c r="AC188" s="13" t="n"/>
      <c r="AD188" s="21" t="n"/>
      <c r="AE188" s="12" t="n"/>
      <c r="AF188" s="14">
        <f>IF(A188="","",IF(Y188&lt;&gt;"","Closed",IF(TODAY()&gt;S188,"Overdue","Open")))</f>
        <v/>
      </c>
      <c r="AG188" s="12" t="n"/>
      <c r="AH188" s="13" t="n"/>
      <c r="AI188" s="12" t="n"/>
      <c r="AJ188" s="14">
        <f>IF(A188="","",IF(OR(C188="Major",C188="Systemic"),4,IF(C188="Minor",1,0))+IF(AND(Y188="",S188&lt;&gt;"",TODAY()&gt;S188),3,0)+IF(AB188="Yes",3,0)+IF(AG188="Yes",2,0)+IF(AND(Y188="",AE188&gt;=14),2,0)+IF(AND(Y188="",AD188&gt;=100000),2,0)+IF(AND(Y188&lt;&gt;"",V188=""),3,0)+IF(AND(Y188&lt;&gt;"",X188=""),2,0)+IF(AND(Y188&lt;&gt;"",Z188&gt;90),1,0))</f>
        <v/>
      </c>
      <c r="AK188" s="14">
        <f>IF(AJ188="","",IF(AJ188&gt;=10,"CRITICAL",IF(AJ188&gt;=6,"HIGH",IF(AJ188&gt;=3,"WATCH","LOW"))))</f>
        <v/>
      </c>
      <c r="AL188" s="20">
        <f>IF(AJ188="","",TRIM(IF(OR(C188="Major",C188="Systemic"),"major or systemic; ","")&amp;IF(AND(Y188="",S188&lt;&gt;"",TODAY()&gt;S188),"open past agreed date; ","")&amp;IF(AB188="Yes","authority or NOC linked; ","")&amp;IF(AG188="Yes","repeat of a previous NCR; ","")&amp;IF(AND(Y188="",AE188&gt;=14),"programme impact 14 days or more; ","")&amp;IF(AND(Y188="",AD188&gt;=100000),"cost impact AED 100,000 or more; ","")&amp;IF(AND(Y188&lt;&gt;"",V188=""),"closed with no verification date; ","")&amp;IF(AND(Y188&lt;&gt;"",X188=""),"closed without a closure certificate; ","")&amp;IF(AND(Y188&lt;&gt;"",Z188&gt;90),"closed more than 90 days after raising; ","")))</f>
        <v/>
      </c>
    </row>
    <row r="189">
      <c r="A189" s="10" t="n"/>
      <c r="B189" s="11" t="n"/>
      <c r="C189" s="12" t="n"/>
      <c r="D189" s="12" t="n"/>
      <c r="E189" s="12" t="n"/>
      <c r="F189" s="13" t="n"/>
      <c r="G189" s="13" t="n"/>
      <c r="H189" s="13" t="n"/>
      <c r="I189" s="13" t="n"/>
      <c r="J189" s="13" t="n"/>
      <c r="K189" s="13" t="n"/>
      <c r="L189" s="13" t="n"/>
      <c r="M189" s="11" t="n"/>
      <c r="N189" s="11" t="n"/>
      <c r="O189" s="12" t="n"/>
      <c r="P189" s="13" t="n"/>
      <c r="Q189" s="13" t="n"/>
      <c r="R189" s="13" t="n"/>
      <c r="S189" s="11" t="n"/>
      <c r="T189" s="11" t="n"/>
      <c r="U189" s="13" t="n"/>
      <c r="V189" s="11" t="n"/>
      <c r="W189" s="12" t="n"/>
      <c r="X189" s="12" t="n"/>
      <c r="Y189" s="11" t="n"/>
      <c r="Z189" s="14">
        <f>IF(A189="","",IF(Y189&lt;&gt;"",Y189-B189,TODAY()-B189))</f>
        <v/>
      </c>
      <c r="AA189" s="14">
        <f>IF(A189="","",IF(AND(Y189="",TODAY()&gt;S189),"OVERDUE",IF(AND(Y189&lt;&gt;"",Y189&gt;S189),"CLOSED LATE","")))</f>
        <v/>
      </c>
      <c r="AB189" s="12" t="n"/>
      <c r="AC189" s="13" t="n"/>
      <c r="AD189" s="21" t="n"/>
      <c r="AE189" s="12" t="n"/>
      <c r="AF189" s="14">
        <f>IF(A189="","",IF(Y189&lt;&gt;"","Closed",IF(TODAY()&gt;S189,"Overdue","Open")))</f>
        <v/>
      </c>
      <c r="AG189" s="12" t="n"/>
      <c r="AH189" s="13" t="n"/>
      <c r="AI189" s="12" t="n"/>
      <c r="AJ189" s="14">
        <f>IF(A189="","",IF(OR(C189="Major",C189="Systemic"),4,IF(C189="Minor",1,0))+IF(AND(Y189="",S189&lt;&gt;"",TODAY()&gt;S189),3,0)+IF(AB189="Yes",3,0)+IF(AG189="Yes",2,0)+IF(AND(Y189="",AE189&gt;=14),2,0)+IF(AND(Y189="",AD189&gt;=100000),2,0)+IF(AND(Y189&lt;&gt;"",V189=""),3,0)+IF(AND(Y189&lt;&gt;"",X189=""),2,0)+IF(AND(Y189&lt;&gt;"",Z189&gt;90),1,0))</f>
        <v/>
      </c>
      <c r="AK189" s="14">
        <f>IF(AJ189="","",IF(AJ189&gt;=10,"CRITICAL",IF(AJ189&gt;=6,"HIGH",IF(AJ189&gt;=3,"WATCH","LOW"))))</f>
        <v/>
      </c>
      <c r="AL189" s="20">
        <f>IF(AJ189="","",TRIM(IF(OR(C189="Major",C189="Systemic"),"major or systemic; ","")&amp;IF(AND(Y189="",S189&lt;&gt;"",TODAY()&gt;S189),"open past agreed date; ","")&amp;IF(AB189="Yes","authority or NOC linked; ","")&amp;IF(AG189="Yes","repeat of a previous NCR; ","")&amp;IF(AND(Y189="",AE189&gt;=14),"programme impact 14 days or more; ","")&amp;IF(AND(Y189="",AD189&gt;=100000),"cost impact AED 100,000 or more; ","")&amp;IF(AND(Y189&lt;&gt;"",V189=""),"closed with no verification date; ","")&amp;IF(AND(Y189&lt;&gt;"",X189=""),"closed without a closure certificate; ","")&amp;IF(AND(Y189&lt;&gt;"",Z189&gt;90),"closed more than 90 days after raising; ","")))</f>
        <v/>
      </c>
    </row>
    <row r="190">
      <c r="A190" s="10" t="n"/>
      <c r="B190" s="11" t="n"/>
      <c r="C190" s="12" t="n"/>
      <c r="D190" s="12" t="n"/>
      <c r="E190" s="12" t="n"/>
      <c r="F190" s="13" t="n"/>
      <c r="G190" s="13" t="n"/>
      <c r="H190" s="13" t="n"/>
      <c r="I190" s="13" t="n"/>
      <c r="J190" s="13" t="n"/>
      <c r="K190" s="13" t="n"/>
      <c r="L190" s="13" t="n"/>
      <c r="M190" s="11" t="n"/>
      <c r="N190" s="11" t="n"/>
      <c r="O190" s="12" t="n"/>
      <c r="P190" s="13" t="n"/>
      <c r="Q190" s="13" t="n"/>
      <c r="R190" s="13" t="n"/>
      <c r="S190" s="11" t="n"/>
      <c r="T190" s="11" t="n"/>
      <c r="U190" s="13" t="n"/>
      <c r="V190" s="11" t="n"/>
      <c r="W190" s="12" t="n"/>
      <c r="X190" s="12" t="n"/>
      <c r="Y190" s="11" t="n"/>
      <c r="Z190" s="14">
        <f>IF(A190="","",IF(Y190&lt;&gt;"",Y190-B190,TODAY()-B190))</f>
        <v/>
      </c>
      <c r="AA190" s="14">
        <f>IF(A190="","",IF(AND(Y190="",TODAY()&gt;S190),"OVERDUE",IF(AND(Y190&lt;&gt;"",Y190&gt;S190),"CLOSED LATE","")))</f>
        <v/>
      </c>
      <c r="AB190" s="12" t="n"/>
      <c r="AC190" s="13" t="n"/>
      <c r="AD190" s="21" t="n"/>
      <c r="AE190" s="12" t="n"/>
      <c r="AF190" s="14">
        <f>IF(A190="","",IF(Y190&lt;&gt;"","Closed",IF(TODAY()&gt;S190,"Overdue","Open")))</f>
        <v/>
      </c>
      <c r="AG190" s="12" t="n"/>
      <c r="AH190" s="13" t="n"/>
      <c r="AI190" s="12" t="n"/>
      <c r="AJ190" s="14">
        <f>IF(A190="","",IF(OR(C190="Major",C190="Systemic"),4,IF(C190="Minor",1,0))+IF(AND(Y190="",S190&lt;&gt;"",TODAY()&gt;S190),3,0)+IF(AB190="Yes",3,0)+IF(AG190="Yes",2,0)+IF(AND(Y190="",AE190&gt;=14),2,0)+IF(AND(Y190="",AD190&gt;=100000),2,0)+IF(AND(Y190&lt;&gt;"",V190=""),3,0)+IF(AND(Y190&lt;&gt;"",X190=""),2,0)+IF(AND(Y190&lt;&gt;"",Z190&gt;90),1,0))</f>
        <v/>
      </c>
      <c r="AK190" s="14">
        <f>IF(AJ190="","",IF(AJ190&gt;=10,"CRITICAL",IF(AJ190&gt;=6,"HIGH",IF(AJ190&gt;=3,"WATCH","LOW"))))</f>
        <v/>
      </c>
      <c r="AL190" s="20">
        <f>IF(AJ190="","",TRIM(IF(OR(C190="Major",C190="Systemic"),"major or systemic; ","")&amp;IF(AND(Y190="",S190&lt;&gt;"",TODAY()&gt;S190),"open past agreed date; ","")&amp;IF(AB190="Yes","authority or NOC linked; ","")&amp;IF(AG190="Yes","repeat of a previous NCR; ","")&amp;IF(AND(Y190="",AE190&gt;=14),"programme impact 14 days or more; ","")&amp;IF(AND(Y190="",AD190&gt;=100000),"cost impact AED 100,000 or more; ","")&amp;IF(AND(Y190&lt;&gt;"",V190=""),"closed with no verification date; ","")&amp;IF(AND(Y190&lt;&gt;"",X190=""),"closed without a closure certificate; ","")&amp;IF(AND(Y190&lt;&gt;"",Z190&gt;90),"closed more than 90 days after raising; ","")))</f>
        <v/>
      </c>
    </row>
    <row r="191">
      <c r="A191" s="10" t="n"/>
      <c r="B191" s="11" t="n"/>
      <c r="C191" s="12" t="n"/>
      <c r="D191" s="12" t="n"/>
      <c r="E191" s="12" t="n"/>
      <c r="F191" s="13" t="n"/>
      <c r="G191" s="13" t="n"/>
      <c r="H191" s="13" t="n"/>
      <c r="I191" s="13" t="n"/>
      <c r="J191" s="13" t="n"/>
      <c r="K191" s="13" t="n"/>
      <c r="L191" s="13" t="n"/>
      <c r="M191" s="11" t="n"/>
      <c r="N191" s="11" t="n"/>
      <c r="O191" s="12" t="n"/>
      <c r="P191" s="13" t="n"/>
      <c r="Q191" s="13" t="n"/>
      <c r="R191" s="13" t="n"/>
      <c r="S191" s="11" t="n"/>
      <c r="T191" s="11" t="n"/>
      <c r="U191" s="13" t="n"/>
      <c r="V191" s="11" t="n"/>
      <c r="W191" s="12" t="n"/>
      <c r="X191" s="12" t="n"/>
      <c r="Y191" s="11" t="n"/>
      <c r="Z191" s="14">
        <f>IF(A191="","",IF(Y191&lt;&gt;"",Y191-B191,TODAY()-B191))</f>
        <v/>
      </c>
      <c r="AA191" s="14">
        <f>IF(A191="","",IF(AND(Y191="",TODAY()&gt;S191),"OVERDUE",IF(AND(Y191&lt;&gt;"",Y191&gt;S191),"CLOSED LATE","")))</f>
        <v/>
      </c>
      <c r="AB191" s="12" t="n"/>
      <c r="AC191" s="13" t="n"/>
      <c r="AD191" s="21" t="n"/>
      <c r="AE191" s="12" t="n"/>
      <c r="AF191" s="14">
        <f>IF(A191="","",IF(Y191&lt;&gt;"","Closed",IF(TODAY()&gt;S191,"Overdue","Open")))</f>
        <v/>
      </c>
      <c r="AG191" s="12" t="n"/>
      <c r="AH191" s="13" t="n"/>
      <c r="AI191" s="12" t="n"/>
      <c r="AJ191" s="14">
        <f>IF(A191="","",IF(OR(C191="Major",C191="Systemic"),4,IF(C191="Minor",1,0))+IF(AND(Y191="",S191&lt;&gt;"",TODAY()&gt;S191),3,0)+IF(AB191="Yes",3,0)+IF(AG191="Yes",2,0)+IF(AND(Y191="",AE191&gt;=14),2,0)+IF(AND(Y191="",AD191&gt;=100000),2,0)+IF(AND(Y191&lt;&gt;"",V191=""),3,0)+IF(AND(Y191&lt;&gt;"",X191=""),2,0)+IF(AND(Y191&lt;&gt;"",Z191&gt;90),1,0))</f>
        <v/>
      </c>
      <c r="AK191" s="14">
        <f>IF(AJ191="","",IF(AJ191&gt;=10,"CRITICAL",IF(AJ191&gt;=6,"HIGH",IF(AJ191&gt;=3,"WATCH","LOW"))))</f>
        <v/>
      </c>
      <c r="AL191" s="20">
        <f>IF(AJ191="","",TRIM(IF(OR(C191="Major",C191="Systemic"),"major or systemic; ","")&amp;IF(AND(Y191="",S191&lt;&gt;"",TODAY()&gt;S191),"open past agreed date; ","")&amp;IF(AB191="Yes","authority or NOC linked; ","")&amp;IF(AG191="Yes","repeat of a previous NCR; ","")&amp;IF(AND(Y191="",AE191&gt;=14),"programme impact 14 days or more; ","")&amp;IF(AND(Y191="",AD191&gt;=100000),"cost impact AED 100,000 or more; ","")&amp;IF(AND(Y191&lt;&gt;"",V191=""),"closed with no verification date; ","")&amp;IF(AND(Y191&lt;&gt;"",X191=""),"closed without a closure certificate; ","")&amp;IF(AND(Y191&lt;&gt;"",Z191&gt;90),"closed more than 90 days after raising; ","")))</f>
        <v/>
      </c>
    </row>
    <row r="192">
      <c r="A192" s="10" t="n"/>
      <c r="B192" s="11" t="n"/>
      <c r="C192" s="12" t="n"/>
      <c r="D192" s="12" t="n"/>
      <c r="E192" s="12" t="n"/>
      <c r="F192" s="13" t="n"/>
      <c r="G192" s="13" t="n"/>
      <c r="H192" s="13" t="n"/>
      <c r="I192" s="13" t="n"/>
      <c r="J192" s="13" t="n"/>
      <c r="K192" s="13" t="n"/>
      <c r="L192" s="13" t="n"/>
      <c r="M192" s="11" t="n"/>
      <c r="N192" s="11" t="n"/>
      <c r="O192" s="12" t="n"/>
      <c r="P192" s="13" t="n"/>
      <c r="Q192" s="13" t="n"/>
      <c r="R192" s="13" t="n"/>
      <c r="S192" s="11" t="n"/>
      <c r="T192" s="11" t="n"/>
      <c r="U192" s="13" t="n"/>
      <c r="V192" s="11" t="n"/>
      <c r="W192" s="12" t="n"/>
      <c r="X192" s="12" t="n"/>
      <c r="Y192" s="11" t="n"/>
      <c r="Z192" s="14">
        <f>IF(A192="","",IF(Y192&lt;&gt;"",Y192-B192,TODAY()-B192))</f>
        <v/>
      </c>
      <c r="AA192" s="14">
        <f>IF(A192="","",IF(AND(Y192="",TODAY()&gt;S192),"OVERDUE",IF(AND(Y192&lt;&gt;"",Y192&gt;S192),"CLOSED LATE","")))</f>
        <v/>
      </c>
      <c r="AB192" s="12" t="n"/>
      <c r="AC192" s="13" t="n"/>
      <c r="AD192" s="21" t="n"/>
      <c r="AE192" s="12" t="n"/>
      <c r="AF192" s="14">
        <f>IF(A192="","",IF(Y192&lt;&gt;"","Closed",IF(TODAY()&gt;S192,"Overdue","Open")))</f>
        <v/>
      </c>
      <c r="AG192" s="12" t="n"/>
      <c r="AH192" s="13" t="n"/>
      <c r="AI192" s="12" t="n"/>
      <c r="AJ192" s="14">
        <f>IF(A192="","",IF(OR(C192="Major",C192="Systemic"),4,IF(C192="Minor",1,0))+IF(AND(Y192="",S192&lt;&gt;"",TODAY()&gt;S192),3,0)+IF(AB192="Yes",3,0)+IF(AG192="Yes",2,0)+IF(AND(Y192="",AE192&gt;=14),2,0)+IF(AND(Y192="",AD192&gt;=100000),2,0)+IF(AND(Y192&lt;&gt;"",V192=""),3,0)+IF(AND(Y192&lt;&gt;"",X192=""),2,0)+IF(AND(Y192&lt;&gt;"",Z192&gt;90),1,0))</f>
        <v/>
      </c>
      <c r="AK192" s="14">
        <f>IF(AJ192="","",IF(AJ192&gt;=10,"CRITICAL",IF(AJ192&gt;=6,"HIGH",IF(AJ192&gt;=3,"WATCH","LOW"))))</f>
        <v/>
      </c>
      <c r="AL192" s="20">
        <f>IF(AJ192="","",TRIM(IF(OR(C192="Major",C192="Systemic"),"major or systemic; ","")&amp;IF(AND(Y192="",S192&lt;&gt;"",TODAY()&gt;S192),"open past agreed date; ","")&amp;IF(AB192="Yes","authority or NOC linked; ","")&amp;IF(AG192="Yes","repeat of a previous NCR; ","")&amp;IF(AND(Y192="",AE192&gt;=14),"programme impact 14 days or more; ","")&amp;IF(AND(Y192="",AD192&gt;=100000),"cost impact AED 100,000 or more; ","")&amp;IF(AND(Y192&lt;&gt;"",V192=""),"closed with no verification date; ","")&amp;IF(AND(Y192&lt;&gt;"",X192=""),"closed without a closure certificate; ","")&amp;IF(AND(Y192&lt;&gt;"",Z192&gt;90),"closed more than 90 days after raising; ","")))</f>
        <v/>
      </c>
    </row>
    <row r="193">
      <c r="A193" s="10" t="n"/>
      <c r="B193" s="11" t="n"/>
      <c r="C193" s="12" t="n"/>
      <c r="D193" s="12" t="n"/>
      <c r="E193" s="12" t="n"/>
      <c r="F193" s="13" t="n"/>
      <c r="G193" s="13" t="n"/>
      <c r="H193" s="13" t="n"/>
      <c r="I193" s="13" t="n"/>
      <c r="J193" s="13" t="n"/>
      <c r="K193" s="13" t="n"/>
      <c r="L193" s="13" t="n"/>
      <c r="M193" s="11" t="n"/>
      <c r="N193" s="11" t="n"/>
      <c r="O193" s="12" t="n"/>
      <c r="P193" s="13" t="n"/>
      <c r="Q193" s="13" t="n"/>
      <c r="R193" s="13" t="n"/>
      <c r="S193" s="11" t="n"/>
      <c r="T193" s="11" t="n"/>
      <c r="U193" s="13" t="n"/>
      <c r="V193" s="11" t="n"/>
      <c r="W193" s="12" t="n"/>
      <c r="X193" s="12" t="n"/>
      <c r="Y193" s="11" t="n"/>
      <c r="Z193" s="14">
        <f>IF(A193="","",IF(Y193&lt;&gt;"",Y193-B193,TODAY()-B193))</f>
        <v/>
      </c>
      <c r="AA193" s="14">
        <f>IF(A193="","",IF(AND(Y193="",TODAY()&gt;S193),"OVERDUE",IF(AND(Y193&lt;&gt;"",Y193&gt;S193),"CLOSED LATE","")))</f>
        <v/>
      </c>
      <c r="AB193" s="12" t="n"/>
      <c r="AC193" s="13" t="n"/>
      <c r="AD193" s="21" t="n"/>
      <c r="AE193" s="12" t="n"/>
      <c r="AF193" s="14">
        <f>IF(A193="","",IF(Y193&lt;&gt;"","Closed",IF(TODAY()&gt;S193,"Overdue","Open")))</f>
        <v/>
      </c>
      <c r="AG193" s="12" t="n"/>
      <c r="AH193" s="13" t="n"/>
      <c r="AI193" s="12" t="n"/>
      <c r="AJ193" s="14">
        <f>IF(A193="","",IF(OR(C193="Major",C193="Systemic"),4,IF(C193="Minor",1,0))+IF(AND(Y193="",S193&lt;&gt;"",TODAY()&gt;S193),3,0)+IF(AB193="Yes",3,0)+IF(AG193="Yes",2,0)+IF(AND(Y193="",AE193&gt;=14),2,0)+IF(AND(Y193="",AD193&gt;=100000),2,0)+IF(AND(Y193&lt;&gt;"",V193=""),3,0)+IF(AND(Y193&lt;&gt;"",X193=""),2,0)+IF(AND(Y193&lt;&gt;"",Z193&gt;90),1,0))</f>
        <v/>
      </c>
      <c r="AK193" s="14">
        <f>IF(AJ193="","",IF(AJ193&gt;=10,"CRITICAL",IF(AJ193&gt;=6,"HIGH",IF(AJ193&gt;=3,"WATCH","LOW"))))</f>
        <v/>
      </c>
      <c r="AL193" s="20">
        <f>IF(AJ193="","",TRIM(IF(OR(C193="Major",C193="Systemic"),"major or systemic; ","")&amp;IF(AND(Y193="",S193&lt;&gt;"",TODAY()&gt;S193),"open past agreed date; ","")&amp;IF(AB193="Yes","authority or NOC linked; ","")&amp;IF(AG193="Yes","repeat of a previous NCR; ","")&amp;IF(AND(Y193="",AE193&gt;=14),"programme impact 14 days or more; ","")&amp;IF(AND(Y193="",AD193&gt;=100000),"cost impact AED 100,000 or more; ","")&amp;IF(AND(Y193&lt;&gt;"",V193=""),"closed with no verification date; ","")&amp;IF(AND(Y193&lt;&gt;"",X193=""),"closed without a closure certificate; ","")&amp;IF(AND(Y193&lt;&gt;"",Z193&gt;90),"closed more than 90 days after raising; ","")))</f>
        <v/>
      </c>
    </row>
    <row r="194">
      <c r="A194" s="10" t="n"/>
      <c r="B194" s="11" t="n"/>
      <c r="C194" s="12" t="n"/>
      <c r="D194" s="12" t="n"/>
      <c r="E194" s="12" t="n"/>
      <c r="F194" s="13" t="n"/>
      <c r="G194" s="13" t="n"/>
      <c r="H194" s="13" t="n"/>
      <c r="I194" s="13" t="n"/>
      <c r="J194" s="13" t="n"/>
      <c r="K194" s="13" t="n"/>
      <c r="L194" s="13" t="n"/>
      <c r="M194" s="11" t="n"/>
      <c r="N194" s="11" t="n"/>
      <c r="O194" s="12" t="n"/>
      <c r="P194" s="13" t="n"/>
      <c r="Q194" s="13" t="n"/>
      <c r="R194" s="13" t="n"/>
      <c r="S194" s="11" t="n"/>
      <c r="T194" s="11" t="n"/>
      <c r="U194" s="13" t="n"/>
      <c r="V194" s="11" t="n"/>
      <c r="W194" s="12" t="n"/>
      <c r="X194" s="12" t="n"/>
      <c r="Y194" s="11" t="n"/>
      <c r="Z194" s="14">
        <f>IF(A194="","",IF(Y194&lt;&gt;"",Y194-B194,TODAY()-B194))</f>
        <v/>
      </c>
      <c r="AA194" s="14">
        <f>IF(A194="","",IF(AND(Y194="",TODAY()&gt;S194),"OVERDUE",IF(AND(Y194&lt;&gt;"",Y194&gt;S194),"CLOSED LATE","")))</f>
        <v/>
      </c>
      <c r="AB194" s="12" t="n"/>
      <c r="AC194" s="13" t="n"/>
      <c r="AD194" s="21" t="n"/>
      <c r="AE194" s="12" t="n"/>
      <c r="AF194" s="14">
        <f>IF(A194="","",IF(Y194&lt;&gt;"","Closed",IF(TODAY()&gt;S194,"Overdue","Open")))</f>
        <v/>
      </c>
      <c r="AG194" s="12" t="n"/>
      <c r="AH194" s="13" t="n"/>
      <c r="AI194" s="12" t="n"/>
      <c r="AJ194" s="14">
        <f>IF(A194="","",IF(OR(C194="Major",C194="Systemic"),4,IF(C194="Minor",1,0))+IF(AND(Y194="",S194&lt;&gt;"",TODAY()&gt;S194),3,0)+IF(AB194="Yes",3,0)+IF(AG194="Yes",2,0)+IF(AND(Y194="",AE194&gt;=14),2,0)+IF(AND(Y194="",AD194&gt;=100000),2,0)+IF(AND(Y194&lt;&gt;"",V194=""),3,0)+IF(AND(Y194&lt;&gt;"",X194=""),2,0)+IF(AND(Y194&lt;&gt;"",Z194&gt;90),1,0))</f>
        <v/>
      </c>
      <c r="AK194" s="14">
        <f>IF(AJ194="","",IF(AJ194&gt;=10,"CRITICAL",IF(AJ194&gt;=6,"HIGH",IF(AJ194&gt;=3,"WATCH","LOW"))))</f>
        <v/>
      </c>
      <c r="AL194" s="20">
        <f>IF(AJ194="","",TRIM(IF(OR(C194="Major",C194="Systemic"),"major or systemic; ","")&amp;IF(AND(Y194="",S194&lt;&gt;"",TODAY()&gt;S194),"open past agreed date; ","")&amp;IF(AB194="Yes","authority or NOC linked; ","")&amp;IF(AG194="Yes","repeat of a previous NCR; ","")&amp;IF(AND(Y194="",AE194&gt;=14),"programme impact 14 days or more; ","")&amp;IF(AND(Y194="",AD194&gt;=100000),"cost impact AED 100,000 or more; ","")&amp;IF(AND(Y194&lt;&gt;"",V194=""),"closed with no verification date; ","")&amp;IF(AND(Y194&lt;&gt;"",X194=""),"closed without a closure certificate; ","")&amp;IF(AND(Y194&lt;&gt;"",Z194&gt;90),"closed more than 90 days after raising; ","")))</f>
        <v/>
      </c>
    </row>
    <row r="195">
      <c r="A195" s="10" t="n"/>
      <c r="B195" s="11" t="n"/>
      <c r="C195" s="12" t="n"/>
      <c r="D195" s="12" t="n"/>
      <c r="E195" s="12" t="n"/>
      <c r="F195" s="13" t="n"/>
      <c r="G195" s="13" t="n"/>
      <c r="H195" s="13" t="n"/>
      <c r="I195" s="13" t="n"/>
      <c r="J195" s="13" t="n"/>
      <c r="K195" s="13" t="n"/>
      <c r="L195" s="13" t="n"/>
      <c r="M195" s="11" t="n"/>
      <c r="N195" s="11" t="n"/>
      <c r="O195" s="12" t="n"/>
      <c r="P195" s="13" t="n"/>
      <c r="Q195" s="13" t="n"/>
      <c r="R195" s="13" t="n"/>
      <c r="S195" s="11" t="n"/>
      <c r="T195" s="11" t="n"/>
      <c r="U195" s="13" t="n"/>
      <c r="V195" s="11" t="n"/>
      <c r="W195" s="12" t="n"/>
      <c r="X195" s="12" t="n"/>
      <c r="Y195" s="11" t="n"/>
      <c r="Z195" s="14">
        <f>IF(A195="","",IF(Y195&lt;&gt;"",Y195-B195,TODAY()-B195))</f>
        <v/>
      </c>
      <c r="AA195" s="14">
        <f>IF(A195="","",IF(AND(Y195="",TODAY()&gt;S195),"OVERDUE",IF(AND(Y195&lt;&gt;"",Y195&gt;S195),"CLOSED LATE","")))</f>
        <v/>
      </c>
      <c r="AB195" s="12" t="n"/>
      <c r="AC195" s="13" t="n"/>
      <c r="AD195" s="21" t="n"/>
      <c r="AE195" s="12" t="n"/>
      <c r="AF195" s="14">
        <f>IF(A195="","",IF(Y195&lt;&gt;"","Closed",IF(TODAY()&gt;S195,"Overdue","Open")))</f>
        <v/>
      </c>
      <c r="AG195" s="12" t="n"/>
      <c r="AH195" s="13" t="n"/>
      <c r="AI195" s="12" t="n"/>
      <c r="AJ195" s="14">
        <f>IF(A195="","",IF(OR(C195="Major",C195="Systemic"),4,IF(C195="Minor",1,0))+IF(AND(Y195="",S195&lt;&gt;"",TODAY()&gt;S195),3,0)+IF(AB195="Yes",3,0)+IF(AG195="Yes",2,0)+IF(AND(Y195="",AE195&gt;=14),2,0)+IF(AND(Y195="",AD195&gt;=100000),2,0)+IF(AND(Y195&lt;&gt;"",V195=""),3,0)+IF(AND(Y195&lt;&gt;"",X195=""),2,0)+IF(AND(Y195&lt;&gt;"",Z195&gt;90),1,0))</f>
        <v/>
      </c>
      <c r="AK195" s="14">
        <f>IF(AJ195="","",IF(AJ195&gt;=10,"CRITICAL",IF(AJ195&gt;=6,"HIGH",IF(AJ195&gt;=3,"WATCH","LOW"))))</f>
        <v/>
      </c>
      <c r="AL195" s="20">
        <f>IF(AJ195="","",TRIM(IF(OR(C195="Major",C195="Systemic"),"major or systemic; ","")&amp;IF(AND(Y195="",S195&lt;&gt;"",TODAY()&gt;S195),"open past agreed date; ","")&amp;IF(AB195="Yes","authority or NOC linked; ","")&amp;IF(AG195="Yes","repeat of a previous NCR; ","")&amp;IF(AND(Y195="",AE195&gt;=14),"programme impact 14 days or more; ","")&amp;IF(AND(Y195="",AD195&gt;=100000),"cost impact AED 100,000 or more; ","")&amp;IF(AND(Y195&lt;&gt;"",V195=""),"closed with no verification date; ","")&amp;IF(AND(Y195&lt;&gt;"",X195=""),"closed without a closure certificate; ","")&amp;IF(AND(Y195&lt;&gt;"",Z195&gt;90),"closed more than 90 days after raising; ","")))</f>
        <v/>
      </c>
    </row>
    <row r="196">
      <c r="A196" s="10" t="n"/>
      <c r="B196" s="11" t="n"/>
      <c r="C196" s="12" t="n"/>
      <c r="D196" s="12" t="n"/>
      <c r="E196" s="12" t="n"/>
      <c r="F196" s="13" t="n"/>
      <c r="G196" s="13" t="n"/>
      <c r="H196" s="13" t="n"/>
      <c r="I196" s="13" t="n"/>
      <c r="J196" s="13" t="n"/>
      <c r="K196" s="13" t="n"/>
      <c r="L196" s="13" t="n"/>
      <c r="M196" s="11" t="n"/>
      <c r="N196" s="11" t="n"/>
      <c r="O196" s="12" t="n"/>
      <c r="P196" s="13" t="n"/>
      <c r="Q196" s="13" t="n"/>
      <c r="R196" s="13" t="n"/>
      <c r="S196" s="11" t="n"/>
      <c r="T196" s="11" t="n"/>
      <c r="U196" s="13" t="n"/>
      <c r="V196" s="11" t="n"/>
      <c r="W196" s="12" t="n"/>
      <c r="X196" s="12" t="n"/>
      <c r="Y196" s="11" t="n"/>
      <c r="Z196" s="14">
        <f>IF(A196="","",IF(Y196&lt;&gt;"",Y196-B196,TODAY()-B196))</f>
        <v/>
      </c>
      <c r="AA196" s="14">
        <f>IF(A196="","",IF(AND(Y196="",TODAY()&gt;S196),"OVERDUE",IF(AND(Y196&lt;&gt;"",Y196&gt;S196),"CLOSED LATE","")))</f>
        <v/>
      </c>
      <c r="AB196" s="12" t="n"/>
      <c r="AC196" s="13" t="n"/>
      <c r="AD196" s="21" t="n"/>
      <c r="AE196" s="12" t="n"/>
      <c r="AF196" s="14">
        <f>IF(A196="","",IF(Y196&lt;&gt;"","Closed",IF(TODAY()&gt;S196,"Overdue","Open")))</f>
        <v/>
      </c>
      <c r="AG196" s="12" t="n"/>
      <c r="AH196" s="13" t="n"/>
      <c r="AI196" s="12" t="n"/>
      <c r="AJ196" s="14">
        <f>IF(A196="","",IF(OR(C196="Major",C196="Systemic"),4,IF(C196="Minor",1,0))+IF(AND(Y196="",S196&lt;&gt;"",TODAY()&gt;S196),3,0)+IF(AB196="Yes",3,0)+IF(AG196="Yes",2,0)+IF(AND(Y196="",AE196&gt;=14),2,0)+IF(AND(Y196="",AD196&gt;=100000),2,0)+IF(AND(Y196&lt;&gt;"",V196=""),3,0)+IF(AND(Y196&lt;&gt;"",X196=""),2,0)+IF(AND(Y196&lt;&gt;"",Z196&gt;90),1,0))</f>
        <v/>
      </c>
      <c r="AK196" s="14">
        <f>IF(AJ196="","",IF(AJ196&gt;=10,"CRITICAL",IF(AJ196&gt;=6,"HIGH",IF(AJ196&gt;=3,"WATCH","LOW"))))</f>
        <v/>
      </c>
      <c r="AL196" s="20">
        <f>IF(AJ196="","",TRIM(IF(OR(C196="Major",C196="Systemic"),"major or systemic; ","")&amp;IF(AND(Y196="",S196&lt;&gt;"",TODAY()&gt;S196),"open past agreed date; ","")&amp;IF(AB196="Yes","authority or NOC linked; ","")&amp;IF(AG196="Yes","repeat of a previous NCR; ","")&amp;IF(AND(Y196="",AE196&gt;=14),"programme impact 14 days or more; ","")&amp;IF(AND(Y196="",AD196&gt;=100000),"cost impact AED 100,000 or more; ","")&amp;IF(AND(Y196&lt;&gt;"",V196=""),"closed with no verification date; ","")&amp;IF(AND(Y196&lt;&gt;"",X196=""),"closed without a closure certificate; ","")&amp;IF(AND(Y196&lt;&gt;"",Z196&gt;90),"closed more than 90 days after raising; ","")))</f>
        <v/>
      </c>
    </row>
    <row r="197">
      <c r="A197" s="10" t="n"/>
      <c r="B197" s="11" t="n"/>
      <c r="C197" s="12" t="n"/>
      <c r="D197" s="12" t="n"/>
      <c r="E197" s="12" t="n"/>
      <c r="F197" s="13" t="n"/>
      <c r="G197" s="13" t="n"/>
      <c r="H197" s="13" t="n"/>
      <c r="I197" s="13" t="n"/>
      <c r="J197" s="13" t="n"/>
      <c r="K197" s="13" t="n"/>
      <c r="L197" s="13" t="n"/>
      <c r="M197" s="11" t="n"/>
      <c r="N197" s="11" t="n"/>
      <c r="O197" s="12" t="n"/>
      <c r="P197" s="13" t="n"/>
      <c r="Q197" s="13" t="n"/>
      <c r="R197" s="13" t="n"/>
      <c r="S197" s="11" t="n"/>
      <c r="T197" s="11" t="n"/>
      <c r="U197" s="13" t="n"/>
      <c r="V197" s="11" t="n"/>
      <c r="W197" s="12" t="n"/>
      <c r="X197" s="12" t="n"/>
      <c r="Y197" s="11" t="n"/>
      <c r="Z197" s="14">
        <f>IF(A197="","",IF(Y197&lt;&gt;"",Y197-B197,TODAY()-B197))</f>
        <v/>
      </c>
      <c r="AA197" s="14">
        <f>IF(A197="","",IF(AND(Y197="",TODAY()&gt;S197),"OVERDUE",IF(AND(Y197&lt;&gt;"",Y197&gt;S197),"CLOSED LATE","")))</f>
        <v/>
      </c>
      <c r="AB197" s="12" t="n"/>
      <c r="AC197" s="13" t="n"/>
      <c r="AD197" s="21" t="n"/>
      <c r="AE197" s="12" t="n"/>
      <c r="AF197" s="14">
        <f>IF(A197="","",IF(Y197&lt;&gt;"","Closed",IF(TODAY()&gt;S197,"Overdue","Open")))</f>
        <v/>
      </c>
      <c r="AG197" s="12" t="n"/>
      <c r="AH197" s="13" t="n"/>
      <c r="AI197" s="12" t="n"/>
      <c r="AJ197" s="14">
        <f>IF(A197="","",IF(OR(C197="Major",C197="Systemic"),4,IF(C197="Minor",1,0))+IF(AND(Y197="",S197&lt;&gt;"",TODAY()&gt;S197),3,0)+IF(AB197="Yes",3,0)+IF(AG197="Yes",2,0)+IF(AND(Y197="",AE197&gt;=14),2,0)+IF(AND(Y197="",AD197&gt;=100000),2,0)+IF(AND(Y197&lt;&gt;"",V197=""),3,0)+IF(AND(Y197&lt;&gt;"",X197=""),2,0)+IF(AND(Y197&lt;&gt;"",Z197&gt;90),1,0))</f>
        <v/>
      </c>
      <c r="AK197" s="14">
        <f>IF(AJ197="","",IF(AJ197&gt;=10,"CRITICAL",IF(AJ197&gt;=6,"HIGH",IF(AJ197&gt;=3,"WATCH","LOW"))))</f>
        <v/>
      </c>
      <c r="AL197" s="20">
        <f>IF(AJ197="","",TRIM(IF(OR(C197="Major",C197="Systemic"),"major or systemic; ","")&amp;IF(AND(Y197="",S197&lt;&gt;"",TODAY()&gt;S197),"open past agreed date; ","")&amp;IF(AB197="Yes","authority or NOC linked; ","")&amp;IF(AG197="Yes","repeat of a previous NCR; ","")&amp;IF(AND(Y197="",AE197&gt;=14),"programme impact 14 days or more; ","")&amp;IF(AND(Y197="",AD197&gt;=100000),"cost impact AED 100,000 or more; ","")&amp;IF(AND(Y197&lt;&gt;"",V197=""),"closed with no verification date; ","")&amp;IF(AND(Y197&lt;&gt;"",X197=""),"closed without a closure certificate; ","")&amp;IF(AND(Y197&lt;&gt;"",Z197&gt;90),"closed more than 90 days after raising; ","")))</f>
        <v/>
      </c>
    </row>
    <row r="198">
      <c r="A198" s="10" t="n"/>
      <c r="B198" s="11" t="n"/>
      <c r="C198" s="12" t="n"/>
      <c r="D198" s="12" t="n"/>
      <c r="E198" s="12" t="n"/>
      <c r="F198" s="13" t="n"/>
      <c r="G198" s="13" t="n"/>
      <c r="H198" s="13" t="n"/>
      <c r="I198" s="13" t="n"/>
      <c r="J198" s="13" t="n"/>
      <c r="K198" s="13" t="n"/>
      <c r="L198" s="13" t="n"/>
      <c r="M198" s="11" t="n"/>
      <c r="N198" s="11" t="n"/>
      <c r="O198" s="12" t="n"/>
      <c r="P198" s="13" t="n"/>
      <c r="Q198" s="13" t="n"/>
      <c r="R198" s="13" t="n"/>
      <c r="S198" s="11" t="n"/>
      <c r="T198" s="11" t="n"/>
      <c r="U198" s="13" t="n"/>
      <c r="V198" s="11" t="n"/>
      <c r="W198" s="12" t="n"/>
      <c r="X198" s="12" t="n"/>
      <c r="Y198" s="11" t="n"/>
      <c r="Z198" s="14">
        <f>IF(A198="","",IF(Y198&lt;&gt;"",Y198-B198,TODAY()-B198))</f>
        <v/>
      </c>
      <c r="AA198" s="14">
        <f>IF(A198="","",IF(AND(Y198="",TODAY()&gt;S198),"OVERDUE",IF(AND(Y198&lt;&gt;"",Y198&gt;S198),"CLOSED LATE","")))</f>
        <v/>
      </c>
      <c r="AB198" s="12" t="n"/>
      <c r="AC198" s="13" t="n"/>
      <c r="AD198" s="21" t="n"/>
      <c r="AE198" s="12" t="n"/>
      <c r="AF198" s="14">
        <f>IF(A198="","",IF(Y198&lt;&gt;"","Closed",IF(TODAY()&gt;S198,"Overdue","Open")))</f>
        <v/>
      </c>
      <c r="AG198" s="12" t="n"/>
      <c r="AH198" s="13" t="n"/>
      <c r="AI198" s="12" t="n"/>
      <c r="AJ198" s="14">
        <f>IF(A198="","",IF(OR(C198="Major",C198="Systemic"),4,IF(C198="Minor",1,0))+IF(AND(Y198="",S198&lt;&gt;"",TODAY()&gt;S198),3,0)+IF(AB198="Yes",3,0)+IF(AG198="Yes",2,0)+IF(AND(Y198="",AE198&gt;=14),2,0)+IF(AND(Y198="",AD198&gt;=100000),2,0)+IF(AND(Y198&lt;&gt;"",V198=""),3,0)+IF(AND(Y198&lt;&gt;"",X198=""),2,0)+IF(AND(Y198&lt;&gt;"",Z198&gt;90),1,0))</f>
        <v/>
      </c>
      <c r="AK198" s="14">
        <f>IF(AJ198="","",IF(AJ198&gt;=10,"CRITICAL",IF(AJ198&gt;=6,"HIGH",IF(AJ198&gt;=3,"WATCH","LOW"))))</f>
        <v/>
      </c>
      <c r="AL198" s="20">
        <f>IF(AJ198="","",TRIM(IF(OR(C198="Major",C198="Systemic"),"major or systemic; ","")&amp;IF(AND(Y198="",S198&lt;&gt;"",TODAY()&gt;S198),"open past agreed date; ","")&amp;IF(AB198="Yes","authority or NOC linked; ","")&amp;IF(AG198="Yes","repeat of a previous NCR; ","")&amp;IF(AND(Y198="",AE198&gt;=14),"programme impact 14 days or more; ","")&amp;IF(AND(Y198="",AD198&gt;=100000),"cost impact AED 100,000 or more; ","")&amp;IF(AND(Y198&lt;&gt;"",V198=""),"closed with no verification date; ","")&amp;IF(AND(Y198&lt;&gt;"",X198=""),"closed without a closure certificate; ","")&amp;IF(AND(Y198&lt;&gt;"",Z198&gt;90),"closed more than 90 days after raising; ","")))</f>
        <v/>
      </c>
    </row>
    <row r="199">
      <c r="A199" s="10" t="n"/>
      <c r="B199" s="11" t="n"/>
      <c r="C199" s="12" t="n"/>
      <c r="D199" s="12" t="n"/>
      <c r="E199" s="12" t="n"/>
      <c r="F199" s="13" t="n"/>
      <c r="G199" s="13" t="n"/>
      <c r="H199" s="13" t="n"/>
      <c r="I199" s="13" t="n"/>
      <c r="J199" s="13" t="n"/>
      <c r="K199" s="13" t="n"/>
      <c r="L199" s="13" t="n"/>
      <c r="M199" s="11" t="n"/>
      <c r="N199" s="11" t="n"/>
      <c r="O199" s="12" t="n"/>
      <c r="P199" s="13" t="n"/>
      <c r="Q199" s="13" t="n"/>
      <c r="R199" s="13" t="n"/>
      <c r="S199" s="11" t="n"/>
      <c r="T199" s="11" t="n"/>
      <c r="U199" s="13" t="n"/>
      <c r="V199" s="11" t="n"/>
      <c r="W199" s="12" t="n"/>
      <c r="X199" s="12" t="n"/>
      <c r="Y199" s="11" t="n"/>
      <c r="Z199" s="14">
        <f>IF(A199="","",IF(Y199&lt;&gt;"",Y199-B199,TODAY()-B199))</f>
        <v/>
      </c>
      <c r="AA199" s="14">
        <f>IF(A199="","",IF(AND(Y199="",TODAY()&gt;S199),"OVERDUE",IF(AND(Y199&lt;&gt;"",Y199&gt;S199),"CLOSED LATE","")))</f>
        <v/>
      </c>
      <c r="AB199" s="12" t="n"/>
      <c r="AC199" s="13" t="n"/>
      <c r="AD199" s="21" t="n"/>
      <c r="AE199" s="12" t="n"/>
      <c r="AF199" s="14">
        <f>IF(A199="","",IF(Y199&lt;&gt;"","Closed",IF(TODAY()&gt;S199,"Overdue","Open")))</f>
        <v/>
      </c>
      <c r="AG199" s="12" t="n"/>
      <c r="AH199" s="13" t="n"/>
      <c r="AI199" s="12" t="n"/>
      <c r="AJ199" s="14">
        <f>IF(A199="","",IF(OR(C199="Major",C199="Systemic"),4,IF(C199="Minor",1,0))+IF(AND(Y199="",S199&lt;&gt;"",TODAY()&gt;S199),3,0)+IF(AB199="Yes",3,0)+IF(AG199="Yes",2,0)+IF(AND(Y199="",AE199&gt;=14),2,0)+IF(AND(Y199="",AD199&gt;=100000),2,0)+IF(AND(Y199&lt;&gt;"",V199=""),3,0)+IF(AND(Y199&lt;&gt;"",X199=""),2,0)+IF(AND(Y199&lt;&gt;"",Z199&gt;90),1,0))</f>
        <v/>
      </c>
      <c r="AK199" s="14">
        <f>IF(AJ199="","",IF(AJ199&gt;=10,"CRITICAL",IF(AJ199&gt;=6,"HIGH",IF(AJ199&gt;=3,"WATCH","LOW"))))</f>
        <v/>
      </c>
      <c r="AL199" s="20">
        <f>IF(AJ199="","",TRIM(IF(OR(C199="Major",C199="Systemic"),"major or systemic; ","")&amp;IF(AND(Y199="",S199&lt;&gt;"",TODAY()&gt;S199),"open past agreed date; ","")&amp;IF(AB199="Yes","authority or NOC linked; ","")&amp;IF(AG199="Yes","repeat of a previous NCR; ","")&amp;IF(AND(Y199="",AE199&gt;=14),"programme impact 14 days or more; ","")&amp;IF(AND(Y199="",AD199&gt;=100000),"cost impact AED 100,000 or more; ","")&amp;IF(AND(Y199&lt;&gt;"",V199=""),"closed with no verification date; ","")&amp;IF(AND(Y199&lt;&gt;"",X199=""),"closed without a closure certificate; ","")&amp;IF(AND(Y199&lt;&gt;"",Z199&gt;90),"closed more than 90 days after raising; ","")))</f>
        <v/>
      </c>
    </row>
    <row r="200">
      <c r="A200" s="10" t="n"/>
      <c r="B200" s="11" t="n"/>
      <c r="C200" s="12" t="n"/>
      <c r="D200" s="12" t="n"/>
      <c r="E200" s="12" t="n"/>
      <c r="F200" s="13" t="n"/>
      <c r="G200" s="13" t="n"/>
      <c r="H200" s="13" t="n"/>
      <c r="I200" s="13" t="n"/>
      <c r="J200" s="13" t="n"/>
      <c r="K200" s="13" t="n"/>
      <c r="L200" s="13" t="n"/>
      <c r="M200" s="11" t="n"/>
      <c r="N200" s="11" t="n"/>
      <c r="O200" s="12" t="n"/>
      <c r="P200" s="13" t="n"/>
      <c r="Q200" s="13" t="n"/>
      <c r="R200" s="13" t="n"/>
      <c r="S200" s="11" t="n"/>
      <c r="T200" s="11" t="n"/>
      <c r="U200" s="13" t="n"/>
      <c r="V200" s="11" t="n"/>
      <c r="W200" s="12" t="n"/>
      <c r="X200" s="12" t="n"/>
      <c r="Y200" s="11" t="n"/>
      <c r="Z200" s="14">
        <f>IF(A200="","",IF(Y200&lt;&gt;"",Y200-B200,TODAY()-B200))</f>
        <v/>
      </c>
      <c r="AA200" s="14">
        <f>IF(A200="","",IF(AND(Y200="",TODAY()&gt;S200),"OVERDUE",IF(AND(Y200&lt;&gt;"",Y200&gt;S200),"CLOSED LATE","")))</f>
        <v/>
      </c>
      <c r="AB200" s="12" t="n"/>
      <c r="AC200" s="13" t="n"/>
      <c r="AD200" s="21" t="n"/>
      <c r="AE200" s="12" t="n"/>
      <c r="AF200" s="14">
        <f>IF(A200="","",IF(Y200&lt;&gt;"","Closed",IF(TODAY()&gt;S200,"Overdue","Open")))</f>
        <v/>
      </c>
      <c r="AG200" s="12" t="n"/>
      <c r="AH200" s="13" t="n"/>
      <c r="AI200" s="12" t="n"/>
      <c r="AJ200" s="14">
        <f>IF(A200="","",IF(OR(C200="Major",C200="Systemic"),4,IF(C200="Minor",1,0))+IF(AND(Y200="",S200&lt;&gt;"",TODAY()&gt;S200),3,0)+IF(AB200="Yes",3,0)+IF(AG200="Yes",2,0)+IF(AND(Y200="",AE200&gt;=14),2,0)+IF(AND(Y200="",AD200&gt;=100000),2,0)+IF(AND(Y200&lt;&gt;"",V200=""),3,0)+IF(AND(Y200&lt;&gt;"",X200=""),2,0)+IF(AND(Y200&lt;&gt;"",Z200&gt;90),1,0))</f>
        <v/>
      </c>
      <c r="AK200" s="14">
        <f>IF(AJ200="","",IF(AJ200&gt;=10,"CRITICAL",IF(AJ200&gt;=6,"HIGH",IF(AJ200&gt;=3,"WATCH","LOW"))))</f>
        <v/>
      </c>
      <c r="AL200" s="20">
        <f>IF(AJ200="","",TRIM(IF(OR(C200="Major",C200="Systemic"),"major or systemic; ","")&amp;IF(AND(Y200="",S200&lt;&gt;"",TODAY()&gt;S200),"open past agreed date; ","")&amp;IF(AB200="Yes","authority or NOC linked; ","")&amp;IF(AG200="Yes","repeat of a previous NCR; ","")&amp;IF(AND(Y200="",AE200&gt;=14),"programme impact 14 days or more; ","")&amp;IF(AND(Y200="",AD200&gt;=100000),"cost impact AED 100,000 or more; ","")&amp;IF(AND(Y200&lt;&gt;"",V200=""),"closed with no verification date; ","")&amp;IF(AND(Y200&lt;&gt;"",X200=""),"closed without a closure certificate; ","")&amp;IF(AND(Y200&lt;&gt;"",Z200&gt;90),"closed more than 90 days after raising; ","")))</f>
        <v/>
      </c>
    </row>
    <row r="201">
      <c r="A201" s="10" t="n"/>
      <c r="B201" s="11" t="n"/>
      <c r="C201" s="12" t="n"/>
      <c r="D201" s="12" t="n"/>
      <c r="E201" s="12" t="n"/>
      <c r="F201" s="13" t="n"/>
      <c r="G201" s="13" t="n"/>
      <c r="H201" s="13" t="n"/>
      <c r="I201" s="13" t="n"/>
      <c r="J201" s="13" t="n"/>
      <c r="K201" s="13" t="n"/>
      <c r="L201" s="13" t="n"/>
      <c r="M201" s="11" t="n"/>
      <c r="N201" s="11" t="n"/>
      <c r="O201" s="12" t="n"/>
      <c r="P201" s="13" t="n"/>
      <c r="Q201" s="13" t="n"/>
      <c r="R201" s="13" t="n"/>
      <c r="S201" s="11" t="n"/>
      <c r="T201" s="11" t="n"/>
      <c r="U201" s="13" t="n"/>
      <c r="V201" s="11" t="n"/>
      <c r="W201" s="12" t="n"/>
      <c r="X201" s="12" t="n"/>
      <c r="Y201" s="11" t="n"/>
      <c r="Z201" s="14">
        <f>IF(A201="","",IF(Y201&lt;&gt;"",Y201-B201,TODAY()-B201))</f>
        <v/>
      </c>
      <c r="AA201" s="14">
        <f>IF(A201="","",IF(AND(Y201="",TODAY()&gt;S201),"OVERDUE",IF(AND(Y201&lt;&gt;"",Y201&gt;S201),"CLOSED LATE","")))</f>
        <v/>
      </c>
      <c r="AB201" s="12" t="n"/>
      <c r="AC201" s="13" t="n"/>
      <c r="AD201" s="21" t="n"/>
      <c r="AE201" s="12" t="n"/>
      <c r="AF201" s="14">
        <f>IF(A201="","",IF(Y201&lt;&gt;"","Closed",IF(TODAY()&gt;S201,"Overdue","Open")))</f>
        <v/>
      </c>
      <c r="AG201" s="12" t="n"/>
      <c r="AH201" s="13" t="n"/>
      <c r="AI201" s="12" t="n"/>
      <c r="AJ201" s="14">
        <f>IF(A201="","",IF(OR(C201="Major",C201="Systemic"),4,IF(C201="Minor",1,0))+IF(AND(Y201="",S201&lt;&gt;"",TODAY()&gt;S201),3,0)+IF(AB201="Yes",3,0)+IF(AG201="Yes",2,0)+IF(AND(Y201="",AE201&gt;=14),2,0)+IF(AND(Y201="",AD201&gt;=100000),2,0)+IF(AND(Y201&lt;&gt;"",V201=""),3,0)+IF(AND(Y201&lt;&gt;"",X201=""),2,0)+IF(AND(Y201&lt;&gt;"",Z201&gt;90),1,0))</f>
        <v/>
      </c>
      <c r="AK201" s="14">
        <f>IF(AJ201="","",IF(AJ201&gt;=10,"CRITICAL",IF(AJ201&gt;=6,"HIGH",IF(AJ201&gt;=3,"WATCH","LOW"))))</f>
        <v/>
      </c>
      <c r="AL201" s="20">
        <f>IF(AJ201="","",TRIM(IF(OR(C201="Major",C201="Systemic"),"major or systemic; ","")&amp;IF(AND(Y201="",S201&lt;&gt;"",TODAY()&gt;S201),"open past agreed date; ","")&amp;IF(AB201="Yes","authority or NOC linked; ","")&amp;IF(AG201="Yes","repeat of a previous NCR; ","")&amp;IF(AND(Y201="",AE201&gt;=14),"programme impact 14 days or more; ","")&amp;IF(AND(Y201="",AD201&gt;=100000),"cost impact AED 100,000 or more; ","")&amp;IF(AND(Y201&lt;&gt;"",V201=""),"closed with no verification date; ","")&amp;IF(AND(Y201&lt;&gt;"",X201=""),"closed without a closure certificate; ","")&amp;IF(AND(Y201&lt;&gt;"",Z201&gt;90),"closed more than 90 days after raising; ","")))</f>
        <v/>
      </c>
    </row>
    <row r="202">
      <c r="A202" s="10" t="n"/>
      <c r="B202" s="11" t="n"/>
      <c r="C202" s="12" t="n"/>
      <c r="D202" s="12" t="n"/>
      <c r="E202" s="12" t="n"/>
      <c r="F202" s="13" t="n"/>
      <c r="G202" s="13" t="n"/>
      <c r="H202" s="13" t="n"/>
      <c r="I202" s="13" t="n"/>
      <c r="J202" s="13" t="n"/>
      <c r="K202" s="13" t="n"/>
      <c r="L202" s="13" t="n"/>
      <c r="M202" s="11" t="n"/>
      <c r="N202" s="11" t="n"/>
      <c r="O202" s="12" t="n"/>
      <c r="P202" s="13" t="n"/>
      <c r="Q202" s="13" t="n"/>
      <c r="R202" s="13" t="n"/>
      <c r="S202" s="11" t="n"/>
      <c r="T202" s="11" t="n"/>
      <c r="U202" s="13" t="n"/>
      <c r="V202" s="11" t="n"/>
      <c r="W202" s="12" t="n"/>
      <c r="X202" s="12" t="n"/>
      <c r="Y202" s="11" t="n"/>
      <c r="Z202" s="14">
        <f>IF(A202="","",IF(Y202&lt;&gt;"",Y202-B202,TODAY()-B202))</f>
        <v/>
      </c>
      <c r="AA202" s="14">
        <f>IF(A202="","",IF(AND(Y202="",TODAY()&gt;S202),"OVERDUE",IF(AND(Y202&lt;&gt;"",Y202&gt;S202),"CLOSED LATE","")))</f>
        <v/>
      </c>
      <c r="AB202" s="12" t="n"/>
      <c r="AC202" s="13" t="n"/>
      <c r="AD202" s="21" t="n"/>
      <c r="AE202" s="12" t="n"/>
      <c r="AF202" s="14">
        <f>IF(A202="","",IF(Y202&lt;&gt;"","Closed",IF(TODAY()&gt;S202,"Overdue","Open")))</f>
        <v/>
      </c>
      <c r="AG202" s="12" t="n"/>
      <c r="AH202" s="13" t="n"/>
      <c r="AI202" s="12" t="n"/>
      <c r="AJ202" s="14">
        <f>IF(A202="","",IF(OR(C202="Major",C202="Systemic"),4,IF(C202="Minor",1,0))+IF(AND(Y202="",S202&lt;&gt;"",TODAY()&gt;S202),3,0)+IF(AB202="Yes",3,0)+IF(AG202="Yes",2,0)+IF(AND(Y202="",AE202&gt;=14),2,0)+IF(AND(Y202="",AD202&gt;=100000),2,0)+IF(AND(Y202&lt;&gt;"",V202=""),3,0)+IF(AND(Y202&lt;&gt;"",X202=""),2,0)+IF(AND(Y202&lt;&gt;"",Z202&gt;90),1,0))</f>
        <v/>
      </c>
      <c r="AK202" s="14">
        <f>IF(AJ202="","",IF(AJ202&gt;=10,"CRITICAL",IF(AJ202&gt;=6,"HIGH",IF(AJ202&gt;=3,"WATCH","LOW"))))</f>
        <v/>
      </c>
      <c r="AL202" s="20">
        <f>IF(AJ202="","",TRIM(IF(OR(C202="Major",C202="Systemic"),"major or systemic; ","")&amp;IF(AND(Y202="",S202&lt;&gt;"",TODAY()&gt;S202),"open past agreed date; ","")&amp;IF(AB202="Yes","authority or NOC linked; ","")&amp;IF(AG202="Yes","repeat of a previous NCR; ","")&amp;IF(AND(Y202="",AE202&gt;=14),"programme impact 14 days or more; ","")&amp;IF(AND(Y202="",AD202&gt;=100000),"cost impact AED 100,000 or more; ","")&amp;IF(AND(Y202&lt;&gt;"",V202=""),"closed with no verification date; ","")&amp;IF(AND(Y202&lt;&gt;"",X202=""),"closed without a closure certificate; ","")&amp;IF(AND(Y202&lt;&gt;"",Z202&gt;90),"closed more than 90 days after raising; ","")))</f>
        <v/>
      </c>
    </row>
    <row r="203">
      <c r="A203" s="10" t="n"/>
      <c r="B203" s="11" t="n"/>
      <c r="C203" s="12" t="n"/>
      <c r="D203" s="12" t="n"/>
      <c r="E203" s="12" t="n"/>
      <c r="F203" s="13" t="n"/>
      <c r="G203" s="13" t="n"/>
      <c r="H203" s="13" t="n"/>
      <c r="I203" s="13" t="n"/>
      <c r="J203" s="13" t="n"/>
      <c r="K203" s="13" t="n"/>
      <c r="L203" s="13" t="n"/>
      <c r="M203" s="11" t="n"/>
      <c r="N203" s="11" t="n"/>
      <c r="O203" s="12" t="n"/>
      <c r="P203" s="13" t="n"/>
      <c r="Q203" s="13" t="n"/>
      <c r="R203" s="13" t="n"/>
      <c r="S203" s="11" t="n"/>
      <c r="T203" s="11" t="n"/>
      <c r="U203" s="13" t="n"/>
      <c r="V203" s="11" t="n"/>
      <c r="W203" s="12" t="n"/>
      <c r="X203" s="12" t="n"/>
      <c r="Y203" s="11" t="n"/>
      <c r="Z203" s="14">
        <f>IF(A203="","",IF(Y203&lt;&gt;"",Y203-B203,TODAY()-B203))</f>
        <v/>
      </c>
      <c r="AA203" s="14">
        <f>IF(A203="","",IF(AND(Y203="",TODAY()&gt;S203),"OVERDUE",IF(AND(Y203&lt;&gt;"",Y203&gt;S203),"CLOSED LATE","")))</f>
        <v/>
      </c>
      <c r="AB203" s="12" t="n"/>
      <c r="AC203" s="13" t="n"/>
      <c r="AD203" s="21" t="n"/>
      <c r="AE203" s="12" t="n"/>
      <c r="AF203" s="14">
        <f>IF(A203="","",IF(Y203&lt;&gt;"","Closed",IF(TODAY()&gt;S203,"Overdue","Open")))</f>
        <v/>
      </c>
      <c r="AG203" s="12" t="n"/>
      <c r="AH203" s="13" t="n"/>
      <c r="AI203" s="12" t="n"/>
      <c r="AJ203" s="14">
        <f>IF(A203="","",IF(OR(C203="Major",C203="Systemic"),4,IF(C203="Minor",1,0))+IF(AND(Y203="",S203&lt;&gt;"",TODAY()&gt;S203),3,0)+IF(AB203="Yes",3,0)+IF(AG203="Yes",2,0)+IF(AND(Y203="",AE203&gt;=14),2,0)+IF(AND(Y203="",AD203&gt;=100000),2,0)+IF(AND(Y203&lt;&gt;"",V203=""),3,0)+IF(AND(Y203&lt;&gt;"",X203=""),2,0)+IF(AND(Y203&lt;&gt;"",Z203&gt;90),1,0))</f>
        <v/>
      </c>
      <c r="AK203" s="14">
        <f>IF(AJ203="","",IF(AJ203&gt;=10,"CRITICAL",IF(AJ203&gt;=6,"HIGH",IF(AJ203&gt;=3,"WATCH","LOW"))))</f>
        <v/>
      </c>
      <c r="AL203" s="20">
        <f>IF(AJ203="","",TRIM(IF(OR(C203="Major",C203="Systemic"),"major or systemic; ","")&amp;IF(AND(Y203="",S203&lt;&gt;"",TODAY()&gt;S203),"open past agreed date; ","")&amp;IF(AB203="Yes","authority or NOC linked; ","")&amp;IF(AG203="Yes","repeat of a previous NCR; ","")&amp;IF(AND(Y203="",AE203&gt;=14),"programme impact 14 days or more; ","")&amp;IF(AND(Y203="",AD203&gt;=100000),"cost impact AED 100,000 or more; ","")&amp;IF(AND(Y203&lt;&gt;"",V203=""),"closed with no verification date; ","")&amp;IF(AND(Y203&lt;&gt;"",X203=""),"closed without a closure certificate; ","")&amp;IF(AND(Y203&lt;&gt;"",Z203&gt;90),"closed more than 90 days after raising; ","")))</f>
        <v/>
      </c>
    </row>
    <row r="204">
      <c r="A204" s="10" t="n"/>
      <c r="B204" s="11" t="n"/>
      <c r="C204" s="12" t="n"/>
      <c r="D204" s="12" t="n"/>
      <c r="E204" s="12" t="n"/>
      <c r="F204" s="13" t="n"/>
      <c r="G204" s="13" t="n"/>
      <c r="H204" s="13" t="n"/>
      <c r="I204" s="13" t="n"/>
      <c r="J204" s="13" t="n"/>
      <c r="K204" s="13" t="n"/>
      <c r="L204" s="13" t="n"/>
      <c r="M204" s="11" t="n"/>
      <c r="N204" s="11" t="n"/>
      <c r="O204" s="12" t="n"/>
      <c r="P204" s="13" t="n"/>
      <c r="Q204" s="13" t="n"/>
      <c r="R204" s="13" t="n"/>
      <c r="S204" s="11" t="n"/>
      <c r="T204" s="11" t="n"/>
      <c r="U204" s="13" t="n"/>
      <c r="V204" s="11" t="n"/>
      <c r="W204" s="12" t="n"/>
      <c r="X204" s="12" t="n"/>
      <c r="Y204" s="11" t="n"/>
      <c r="Z204" s="14">
        <f>IF(A204="","",IF(Y204&lt;&gt;"",Y204-B204,TODAY()-B204))</f>
        <v/>
      </c>
      <c r="AA204" s="14">
        <f>IF(A204="","",IF(AND(Y204="",TODAY()&gt;S204),"OVERDUE",IF(AND(Y204&lt;&gt;"",Y204&gt;S204),"CLOSED LATE","")))</f>
        <v/>
      </c>
      <c r="AB204" s="12" t="n"/>
      <c r="AC204" s="13" t="n"/>
      <c r="AD204" s="21" t="n"/>
      <c r="AE204" s="12" t="n"/>
      <c r="AF204" s="14">
        <f>IF(A204="","",IF(Y204&lt;&gt;"","Closed",IF(TODAY()&gt;S204,"Overdue","Open")))</f>
        <v/>
      </c>
      <c r="AG204" s="12" t="n"/>
      <c r="AH204" s="13" t="n"/>
      <c r="AI204" s="12" t="n"/>
      <c r="AJ204" s="14">
        <f>IF(A204="","",IF(OR(C204="Major",C204="Systemic"),4,IF(C204="Minor",1,0))+IF(AND(Y204="",S204&lt;&gt;"",TODAY()&gt;S204),3,0)+IF(AB204="Yes",3,0)+IF(AG204="Yes",2,0)+IF(AND(Y204="",AE204&gt;=14),2,0)+IF(AND(Y204="",AD204&gt;=100000),2,0)+IF(AND(Y204&lt;&gt;"",V204=""),3,0)+IF(AND(Y204&lt;&gt;"",X204=""),2,0)+IF(AND(Y204&lt;&gt;"",Z204&gt;90),1,0))</f>
        <v/>
      </c>
      <c r="AK204" s="14">
        <f>IF(AJ204="","",IF(AJ204&gt;=10,"CRITICAL",IF(AJ204&gt;=6,"HIGH",IF(AJ204&gt;=3,"WATCH","LOW"))))</f>
        <v/>
      </c>
      <c r="AL204" s="20">
        <f>IF(AJ204="","",TRIM(IF(OR(C204="Major",C204="Systemic"),"major or systemic; ","")&amp;IF(AND(Y204="",S204&lt;&gt;"",TODAY()&gt;S204),"open past agreed date; ","")&amp;IF(AB204="Yes","authority or NOC linked; ","")&amp;IF(AG204="Yes","repeat of a previous NCR; ","")&amp;IF(AND(Y204="",AE204&gt;=14),"programme impact 14 days or more; ","")&amp;IF(AND(Y204="",AD204&gt;=100000),"cost impact AED 100,000 or more; ","")&amp;IF(AND(Y204&lt;&gt;"",V204=""),"closed with no verification date; ","")&amp;IF(AND(Y204&lt;&gt;"",X204=""),"closed without a closure certificate; ","")&amp;IF(AND(Y204&lt;&gt;"",Z204&gt;90),"closed more than 90 days after raising; ","")))</f>
        <v/>
      </c>
    </row>
  </sheetData>
  <autoFilter ref="A4:AL204"/>
  <dataValidations count="5">
    <dataValidation sqref="C5:C204" showDropDown="0" showInputMessage="0" showErrorMessage="0" allowBlank="1" type="list">
      <formula1>"Minor,Major,Systemic,Documentation"</formula1>
    </dataValidation>
    <dataValidation sqref="D5:D204" showDropDown="0" showInputMessage="0" showErrorMessage="0" allowBlank="1" type="list">
      <formula1>"Architectural,Structural,Civil,MEP-Electrical,MEP-Mechanical,MEP-Plumbing,Fire and life safety,Survey,Documentation,HSE,Other"</formula1>
    </dataValidation>
    <dataValidation sqref="AB5:AB204" showDropDown="0" showInputMessage="0" showErrorMessage="0" allowBlank="1" type="list">
      <formula1>"Yes,No"</formula1>
    </dataValidation>
    <dataValidation sqref="AG5:AG204" showDropDown="0" showInputMessage="0" showErrorMessage="0" allowBlank="1" type="list">
      <formula1>"Yes,No"</formula1>
    </dataValidation>
    <dataValidation sqref="AI5:AI204" showDropDown="0" showInputMessage="0" showErrorMessage="0" allowBlank="1" type="list">
      <formula1>"Phase 1 - Design, permits and authority;Phase 2 - Construction and fit-out;Phase 3 - Testing and commissioning;Phase 4 - Handover and taking-over;Phase 5 - Defects liability and decennial"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78" customWidth="1" min="2" max="2"/>
    <col width="46" customWidth="1" min="3" max="3"/>
    <col width="40" customWidth="1" min="4" max="4"/>
    <col width="26" customWidth="1" min="5" max="5"/>
  </cols>
  <sheetData>
    <row r="1" ht="24" customHeight="1">
      <c r="A1" s="1" t="inlineStr">
        <is>
          <t>Escalation Matrix and Decision Rules</t>
        </is>
      </c>
    </row>
    <row r="2">
      <c r="A2" s="2" t="inlineStr">
        <is>
          <t>Publish this page as the one-page decision aid for engineers and inspectors.</t>
        </is>
      </c>
    </row>
    <row r="4" ht="30" customHeight="1">
      <c r="A4" s="9" t="inlineStr">
        <is>
          <t>Rung</t>
        </is>
      </c>
      <c r="B4" s="9" t="inlineStr">
        <is>
          <t>Instrument</t>
        </is>
      </c>
      <c r="C4" s="9" t="inlineStr">
        <is>
          <t>Trigger</t>
        </is>
      </c>
      <c r="D4" s="9" t="inlineStr">
        <is>
          <t>Consequence</t>
        </is>
      </c>
      <c r="E4" s="9" t="inlineStr">
        <is>
          <t>Who authorises</t>
        </is>
      </c>
    </row>
    <row r="5">
      <c r="A5" s="13" t="n">
        <v>1</v>
      </c>
      <c r="B5" s="13" t="inlineStr">
        <is>
          <t>Verbal comment, corrected immediately</t>
        </is>
      </c>
      <c r="C5" s="13" t="inlineStr">
        <is>
          <t>Minor issue noticed on a walk-through</t>
        </is>
      </c>
      <c r="D5" s="13" t="inlineStr">
        <is>
          <t>None if corrected before the next inspection</t>
        </is>
      </c>
      <c r="E5" s="13" t="inlineStr">
        <is>
          <t>Any inspector</t>
        </is>
      </c>
    </row>
    <row r="6">
      <c r="A6" s="22" t="n">
        <v>2</v>
      </c>
      <c r="B6" s="22" t="inlineStr">
        <is>
          <t>SOR - Site Observation Report</t>
        </is>
      </c>
      <c r="C6" s="22" t="inlineStr">
        <is>
          <t>Deviation, shortfall or improvement that is not a confirmed non-compliance</t>
        </is>
      </c>
      <c r="D6" s="22" t="inlineStr">
        <is>
          <t>Logged item with due date and photographic closure</t>
        </is>
      </c>
      <c r="E6" s="22" t="inlineStr">
        <is>
          <t>Any PMC engineer or inspector</t>
        </is>
      </c>
    </row>
    <row r="7">
      <c r="A7" s="13" t="n">
        <v>3</v>
      </c>
      <c r="B7" s="13" t="inlineStr">
        <is>
          <t>NCR - Minor</t>
        </is>
      </c>
      <c r="C7" s="13" t="inlineStr">
        <is>
          <t>Confirmed non-compliance, containable, no safety, structural or statutory effect</t>
        </is>
      </c>
      <c r="D7" s="13" t="inlineStr">
        <is>
          <t>Rectification and verified closure certificate</t>
        </is>
      </c>
      <c r="E7" s="13" t="inlineStr">
        <is>
          <t>PMC Quality Manager or Resident Engineer</t>
        </is>
      </c>
    </row>
    <row r="8">
      <c r="A8" s="22" t="n">
        <v>4</v>
      </c>
      <c r="B8" s="22" t="inlineStr">
        <is>
          <t>NCR - Major</t>
        </is>
      </c>
      <c r="C8" s="22" t="inlineStr">
        <is>
          <t>Safety, structural, statutory, concealed or repeated non-compliance</t>
        </is>
      </c>
      <c r="D8" s="22" t="inlineStr">
        <is>
          <t>Containment, hold on scope, root cause and CAPA</t>
        </is>
      </c>
      <c r="E8" s="22" t="inlineStr">
        <is>
          <t>PMC Resident Engineer</t>
        </is>
      </c>
    </row>
    <row r="9">
      <c r="A9" s="13" t="n">
        <v>5</v>
      </c>
      <c r="B9" s="13" t="inlineStr">
        <is>
          <t>Contractual instruction / Notice to Correct</t>
        </is>
      </c>
      <c r="C9" s="13" t="inlineStr">
        <is>
          <t>Not remedied in time, or systemic quality system failure</t>
        </is>
      </c>
      <c r="D9" s="13" t="inlineStr">
        <is>
          <t>Contractual notice, payment hold on the item</t>
        </is>
      </c>
      <c r="E9" s="13" t="inlineStr">
        <is>
          <t>PMC Project Director</t>
        </is>
      </c>
    </row>
    <row r="10">
      <c r="A10" s="22" t="n">
        <v>6</v>
      </c>
      <c r="B10" s="22" t="inlineStr">
        <is>
          <t>Deduction or back-charge</t>
        </is>
      </c>
      <c r="C10" s="22" t="inlineStr">
        <is>
          <t>Cost incurred by the Employer or a third party</t>
        </is>
      </c>
      <c r="D10" s="22" t="inlineStr">
        <is>
          <t>Financial recovery in the payment certificate</t>
        </is>
      </c>
      <c r="E10" s="22" t="inlineStr">
        <is>
          <t>Employer on the Engineer's recommendation</t>
        </is>
      </c>
    </row>
    <row r="11">
      <c r="A11" s="13" t="n">
        <v>7</v>
      </c>
      <c r="B11" s="13" t="inlineStr">
        <is>
          <t>Defects liability regime</t>
        </is>
      </c>
      <c r="C11" s="13" t="inlineStr">
        <is>
          <t>Unresolved at taking-over, or a post-handover defect</t>
        </is>
      </c>
      <c r="D11" s="13" t="inlineStr">
        <is>
          <t>Defects register and retention leverage</t>
        </is>
      </c>
      <c r="E11" s="13" t="inlineStr">
        <is>
          <t>Engineer under the contract</t>
        </is>
      </c>
    </row>
    <row r="14" ht="30" customHeight="1">
      <c r="A14" s="9" t="inlineStr">
        <is>
          <t>Time trigger</t>
        </is>
      </c>
      <c r="B14" s="9" t="inlineStr">
        <is>
          <t>Automatic PMC action</t>
        </is>
      </c>
    </row>
    <row r="15">
      <c r="A15" s="13" t="inlineStr">
        <is>
          <t>SOR not closed by the due date</t>
        </is>
      </c>
      <c r="B15" s="13" t="inlineStr">
        <is>
          <t>Notify the contractor's QA/QC manager, list at the daily site meeting, flag in the weekly report</t>
        </is>
      </c>
    </row>
    <row r="16">
      <c r="A16" s="22" t="inlineStr">
        <is>
          <t>SOR repeated or ignored twice</t>
        </is>
      </c>
      <c r="B16" s="22" t="inlineStr">
        <is>
          <t>Convert to an NCR referencing the SOR history</t>
        </is>
      </c>
    </row>
    <row r="17">
      <c r="A17" s="13" t="inlineStr">
        <is>
          <t>NCR not acknowledged within the dashboard SLA</t>
        </is>
      </c>
      <c r="B17" s="13" t="inlineStr">
        <is>
          <t>Written notice to the contractor's project manager; instruction to respond</t>
        </is>
      </c>
    </row>
    <row r="18">
      <c r="A18" s="22" t="inlineStr">
        <is>
          <t>NCR not remedied by the agreed date</t>
        </is>
      </c>
      <c r="B18" s="22" t="inlineStr">
        <is>
          <t>Written instruction to correct; withhold valuation of the affected item</t>
        </is>
      </c>
    </row>
    <row r="19">
      <c r="A19" s="13" t="inlineStr">
        <is>
          <t>Any item 30 days past due</t>
        </is>
      </c>
      <c r="B19" s="13" t="inlineStr">
        <is>
          <t>Escalate to the quarterly quality review with the client and require a recovery plan</t>
        </is>
      </c>
    </row>
    <row r="20">
      <c r="A20" s="22" t="inlineStr">
        <is>
          <t>Systemic or repeated failure</t>
        </is>
      </c>
      <c r="B20" s="22" t="inlineStr">
        <is>
          <t>Notice to Correct and a full audit of the contractor's quality management system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18" customWidth="1" min="3" max="3"/>
    <col width="13" customWidth="1" min="4" max="4"/>
    <col width="12" customWidth="1" min="5" max="5"/>
    <col width="40" customWidth="1" min="6" max="6"/>
  </cols>
  <sheetData>
    <row r="1" ht="24" customHeight="1">
      <c r="A1" s="1" t="inlineStr">
        <is>
          <t>Root Cause and Corrective / Preventive Action Record</t>
        </is>
      </c>
    </row>
    <row r="2">
      <c r="A2" s="2" t="inlineStr">
        <is>
          <t>Complete one sheet per non-conformance. Use five whys as the minimum analysis for major and systemic items.</t>
        </is>
      </c>
    </row>
    <row r="4">
      <c r="A4" s="3" t="inlineStr">
        <is>
          <t>NCR ID</t>
        </is>
      </c>
      <c r="B4" s="4" t="inlineStr"/>
    </row>
    <row r="5">
      <c r="A5" s="3" t="inlineStr">
        <is>
          <t>Date raised</t>
        </is>
      </c>
      <c r="B5" s="4" t="inlineStr"/>
    </row>
    <row r="6">
      <c r="A6" s="3" t="inlineStr">
        <is>
          <t>Class</t>
        </is>
      </c>
      <c r="B6" s="4" t="inlineStr"/>
    </row>
    <row r="7">
      <c r="A7" s="3" t="inlineStr">
        <is>
          <t>Discipline</t>
        </is>
      </c>
      <c r="B7" s="4" t="inlineStr"/>
    </row>
    <row r="8">
      <c r="A8" s="3" t="inlineStr">
        <is>
          <t>Location</t>
        </is>
      </c>
      <c r="B8" s="4" t="inlineStr"/>
    </row>
    <row r="9">
      <c r="A9" s="3" t="inlineStr">
        <is>
          <t>Requirement breached</t>
        </is>
      </c>
      <c r="B9" s="4" t="inlineStr"/>
    </row>
    <row r="10">
      <c r="A10" s="3" t="inlineStr">
        <is>
          <t>Description of non-conformance</t>
        </is>
      </c>
      <c r="B10" s="4" t="inlineStr"/>
    </row>
    <row r="12">
      <c r="A12" s="5" t="inlineStr">
        <is>
          <t>Five why analysis</t>
        </is>
      </c>
    </row>
    <row r="13" ht="30" customHeight="1">
      <c r="A13" s="9" t="inlineStr">
        <is>
          <t>Level</t>
        </is>
      </c>
      <c r="B13" s="9" t="inlineStr">
        <is>
          <t>Question</t>
        </is>
      </c>
      <c r="C13" s="9" t="inlineStr">
        <is>
          <t>Answer and evidence</t>
        </is>
      </c>
    </row>
    <row r="14">
      <c r="A14" s="13" t="inlineStr">
        <is>
          <t>Immediate cause</t>
        </is>
      </c>
      <c r="B14" s="13" t="inlineStr">
        <is>
          <t>What physically failed or deviated?</t>
        </is>
      </c>
      <c r="C14" s="13" t="inlineStr"/>
    </row>
    <row r="15">
      <c r="A15" s="22" t="inlineStr">
        <is>
          <t>Why 1</t>
        </is>
      </c>
      <c r="B15" s="22" t="inlineStr">
        <is>
          <t>Why did that happen?</t>
        </is>
      </c>
      <c r="C15" s="22" t="inlineStr"/>
    </row>
    <row r="16">
      <c r="A16" s="13" t="inlineStr">
        <is>
          <t>Why 2</t>
        </is>
      </c>
      <c r="B16" s="13" t="inlineStr">
        <is>
          <t>Why did that happen?</t>
        </is>
      </c>
      <c r="C16" s="13" t="inlineStr"/>
    </row>
    <row r="17">
      <c r="A17" s="22" t="inlineStr">
        <is>
          <t>Why 3</t>
        </is>
      </c>
      <c r="B17" s="22" t="inlineStr">
        <is>
          <t>Why did that happen?</t>
        </is>
      </c>
      <c r="C17" s="22" t="inlineStr"/>
    </row>
    <row r="18">
      <c r="A18" s="13" t="inlineStr">
        <is>
          <t>Why 4</t>
        </is>
      </c>
      <c r="B18" s="13" t="inlineStr">
        <is>
          <t>Why did that happen?</t>
        </is>
      </c>
      <c r="C18" s="13" t="inlineStr"/>
    </row>
    <row r="19">
      <c r="A19" s="22" t="inlineStr">
        <is>
          <t>Why 5</t>
        </is>
      </c>
      <c r="B19" s="22" t="inlineStr">
        <is>
          <t>Root cause reaching a controllable system, not human error alone</t>
        </is>
      </c>
      <c r="C19" s="22" t="inlineStr"/>
    </row>
    <row r="20">
      <c r="A20" s="13" t="inlineStr">
        <is>
          <t>Contributing factors</t>
        </is>
      </c>
      <c r="B20" s="13" t="inlineStr">
        <is>
          <t>Which control allowed it to escape detection?</t>
        </is>
      </c>
      <c r="C20" s="13" t="inlineStr"/>
    </row>
    <row r="22" ht="30" customHeight="1">
      <c r="A22" s="9" t="inlineStr">
        <is>
          <t>Action type</t>
        </is>
      </c>
      <c r="B22" s="9" t="inlineStr">
        <is>
          <t>Action (specific and measurable)</t>
        </is>
      </c>
      <c r="C22" s="9" t="inlineStr">
        <is>
          <t>Owner</t>
        </is>
      </c>
      <c r="D22" s="9" t="inlineStr">
        <is>
          <t>Target date</t>
        </is>
      </c>
      <c r="E22" s="9" t="inlineStr">
        <is>
          <t>Status</t>
        </is>
      </c>
      <c r="F22" s="9" t="inlineStr">
        <is>
          <t>Verification of effectiveness</t>
        </is>
      </c>
    </row>
    <row r="23">
      <c r="A23" s="13" t="inlineStr">
        <is>
          <t>Containment</t>
        </is>
      </c>
      <c r="B23" s="13" t="inlineStr"/>
      <c r="C23" s="13" t="inlineStr"/>
      <c r="D23" s="13" t="inlineStr"/>
      <c r="E23" s="13" t="inlineStr"/>
      <c r="F23" s="13" t="inlineStr"/>
    </row>
    <row r="24">
      <c r="A24" s="22" t="inlineStr">
        <is>
          <t>Corrective action</t>
        </is>
      </c>
      <c r="B24" s="22" t="inlineStr"/>
      <c r="C24" s="22" t="inlineStr"/>
      <c r="D24" s="22" t="inlineStr"/>
      <c r="E24" s="22" t="inlineStr"/>
      <c r="F24" s="22" t="inlineStr"/>
    </row>
    <row r="25">
      <c r="A25" s="13" t="inlineStr">
        <is>
          <t>Preventive action</t>
        </is>
      </c>
      <c r="B25" s="13" t="inlineStr"/>
      <c r="C25" s="13" t="inlineStr"/>
      <c r="D25" s="13" t="inlineStr"/>
      <c r="E25" s="13" t="inlineStr"/>
      <c r="F25" s="13" t="inlineStr"/>
    </row>
    <row r="26">
      <c r="A26" s="22" t="inlineStr">
        <is>
          <t>Verification</t>
        </is>
      </c>
      <c r="B26" s="22" t="inlineStr"/>
      <c r="C26" s="22" t="inlineStr"/>
      <c r="D26" s="22" t="inlineStr"/>
      <c r="E26" s="22" t="inlineStr"/>
      <c r="F26" s="22" t="inlineStr"/>
    </row>
    <row r="28">
      <c r="A28" s="2" t="inlineStr">
        <is>
          <t>Rule: if a preventive action cannot be seen in a document, checklist, training record or physical control, it is not an action.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34" customWidth="1" min="3" max="3"/>
    <col width="52" customWidth="1" min="4" max="4"/>
  </cols>
  <sheetData>
    <row r="1" ht="24" customHeight="1">
      <c r="A1" s="1" t="inlineStr">
        <is>
          <t>Closure Evidence Checklist by Category</t>
        </is>
      </c>
    </row>
    <row r="2">
      <c r="A2" s="2" t="inlineStr">
        <is>
          <t>Use to define what the contractor must submit, and what the PMC must hold before closing the item.</t>
        </is>
      </c>
    </row>
    <row r="4" ht="30" customHeight="1">
      <c r="A4" s="9" t="inlineStr">
        <is>
          <t>Category</t>
        </is>
      </c>
      <c r="B4" s="9" t="inlineStr">
        <is>
          <t>Acceptance criterion</t>
        </is>
      </c>
      <c r="C4" s="9" t="inlineStr">
        <is>
          <t>Verification method</t>
        </is>
      </c>
      <c r="D4" s="9" t="inlineStr">
        <is>
          <t>Minimum evidence to close</t>
        </is>
      </c>
    </row>
    <row r="5">
      <c r="A5" s="13" t="inlineStr">
        <is>
          <t>Workmanship and finish</t>
        </is>
      </c>
      <c r="B5" s="13" t="inlineStr">
        <is>
          <t>Compliant with specification and approved sample</t>
        </is>
      </c>
      <c r="C5" s="13" t="inlineStr">
        <is>
          <t>PMC visual inspection and benchmark comparison</t>
        </is>
      </c>
      <c r="D5" s="13" t="inlineStr">
        <is>
          <t>Before and after photos with metadata, inspection record, benchmark reference</t>
        </is>
      </c>
    </row>
    <row r="6">
      <c r="A6" s="22" t="inlineStr">
        <is>
          <t>Structural and geotechnical</t>
        </is>
      </c>
      <c r="B6" s="22" t="inlineStr">
        <is>
          <t>Verified against design and code</t>
        </is>
      </c>
      <c r="C6" s="22" t="inlineStr">
        <is>
          <t>Re-test, NDT, structural review, witnessed inspection</t>
        </is>
      </c>
      <c r="D6" s="22" t="inlineStr">
        <is>
          <t>Third-party test report, designer confirmation, re-inspection record</t>
        </is>
      </c>
    </row>
    <row r="7">
      <c r="A7" s="13" t="inlineStr">
        <is>
          <t>Fire and life safety</t>
        </is>
      </c>
      <c r="B7" s="13" t="inlineStr">
        <is>
          <t>Compliant with the fire code and Civil Defence approval</t>
        </is>
      </c>
      <c r="C7" s="13" t="inlineStr">
        <is>
          <t>PMC inspection, system testing, authority inspection</t>
        </is>
      </c>
      <c r="D7" s="13" t="inlineStr">
        <is>
          <t>Test certificate, authority record or NOC, approved amended drawings</t>
        </is>
      </c>
    </row>
    <row r="8">
      <c r="A8" s="22" t="inlineStr">
        <is>
          <t>MEP and commissioning</t>
        </is>
      </c>
      <c r="B8" s="22" t="inlineStr">
        <is>
          <t>Installed, tested and commissioned to specification</t>
        </is>
      </c>
      <c r="C8" s="22" t="inlineStr">
        <is>
          <t>Witnessed testing, commissioning and balancing</t>
        </is>
      </c>
      <c r="D8" s="22" t="inlineStr">
        <is>
          <t>Test and commissioning report, calibration records, as-built markups</t>
        </is>
      </c>
    </row>
    <row r="9">
      <c r="A9" s="13" t="inlineStr">
        <is>
          <t>Materials and products</t>
        </is>
      </c>
      <c r="B9" s="13" t="inlineStr">
        <is>
          <t>Compliant with approved material and conformity requirements</t>
        </is>
      </c>
      <c r="C9" s="13" t="inlineStr">
        <is>
          <t>Certificate review, sampling, laboratory testing</t>
        </is>
      </c>
      <c r="D9" s="13" t="inlineStr">
        <is>
          <t>Conformity certificate, test report, approved submittal, batch traceability</t>
        </is>
      </c>
    </row>
    <row r="10">
      <c r="A10" s="22" t="inlineStr">
        <is>
          <t>Statutory and authority findings</t>
        </is>
      </c>
      <c r="B10" s="22" t="inlineStr">
        <is>
          <t>Accepted by the authority</t>
        </is>
      </c>
      <c r="C10" s="22" t="inlineStr">
        <is>
          <t>Authority re-inspection or desk review</t>
        </is>
      </c>
      <c r="D10" s="22" t="inlineStr">
        <is>
          <t>Authority letter, NOC, certificate or approved inspection record</t>
        </is>
      </c>
    </row>
    <row r="11">
      <c r="A11" s="13" t="inlineStr">
        <is>
          <t>Documentation gaps</t>
        </is>
      </c>
      <c r="B11" s="13" t="inlineStr">
        <is>
          <t>Record reconstructed and control gap closed</t>
        </is>
      </c>
      <c r="C11" s="13" t="inlineStr">
        <is>
          <t>Review against design and as-built condition</t>
        </is>
      </c>
      <c r="D11" s="13" t="inlineStr">
        <is>
          <t>Justification statement, supporting evidence, revised procedure</t>
        </is>
      </c>
    </row>
    <row r="12">
      <c r="A12" s="22" t="inlineStr">
        <is>
          <t>Interface and access</t>
        </is>
      </c>
      <c r="B12" s="22" t="inlineStr">
        <is>
          <t>Resolved and confirmed by the affected party</t>
        </is>
      </c>
      <c r="C12" s="22" t="inlineStr">
        <is>
          <t>Joint inspection and written confirmation</t>
        </is>
      </c>
      <c r="D12" s="22" t="inlineStr">
        <is>
          <t>Signed joint inspection record, NOC from the affected party</t>
        </is>
      </c>
    </row>
    <row r="13">
      <c r="A13" s="13" t="inlineStr">
        <is>
          <t>Concealed work not verifiable</t>
        </is>
      </c>
      <c r="B13" s="13" t="inlineStr">
        <is>
          <t>Accepted by authority or designer</t>
        </is>
      </c>
      <c r="C13" s="13" t="inlineStr">
        <is>
          <t>Opening up, NDT, endoscopy, radiographic or ultrasonic testing</t>
        </is>
      </c>
      <c r="D13" s="13" t="inlineStr">
        <is>
          <t>Test results, method approval, designer confirmation, authority acceptance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7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26" customWidth="1" min="4" max="4"/>
    <col width="24" customWidth="1" min="5" max="5"/>
    <col width="30" customWidth="1" min="6" max="6"/>
    <col width="34" customWidth="1" min="7" max="7"/>
    <col width="28" customWidth="1" min="8" max="8"/>
    <col width="16" customWidth="1" min="9" max="9"/>
    <col width="16" customWidth="1" min="10" max="10"/>
    <col width="26" customWidth="1" min="11" max="11"/>
    <col width="18" customWidth="1" min="12" max="12"/>
    <col width="14" customWidth="1" min="13" max="13"/>
  </cols>
  <sheetData>
    <row r="1" ht="24" customHeight="1">
      <c r="A1" s="1" t="inlineStr">
        <is>
          <t>UAE Authority Matrix - editable reference</t>
        </is>
      </c>
    </row>
    <row r="2">
      <c r="A2" s="2" t="inlineStr">
        <is>
          <t>Generated from the research behind this article. Add project-specific rows: permit issuer, conditions, hold points and evidence.</t>
        </is>
      </c>
    </row>
    <row r="4" ht="30" customHeight="1">
      <c r="A4" s="9" t="inlineStr">
        <is>
          <t>Authority</t>
        </is>
      </c>
      <c r="B4" s="9" t="inlineStr">
        <is>
          <t>Full name / responsible entity</t>
        </is>
      </c>
      <c r="C4" s="9" t="inlineStr">
        <is>
          <t>Jurisdiction or emirate</t>
        </is>
      </c>
      <c r="D4" s="9" t="inlineStr">
        <is>
          <t>What it regulates</t>
        </is>
      </c>
      <c r="E4" s="9" t="inlineStr">
        <is>
          <t>When it engages the project</t>
        </is>
      </c>
      <c r="F4" s="9" t="inlineStr">
        <is>
          <t>Link to SOR / NCR</t>
        </is>
      </c>
      <c r="G4" s="9" t="inlineStr">
        <is>
          <t>Evidence that closes the item</t>
        </is>
      </c>
      <c r="H4" s="9" t="inlineStr">
        <is>
          <t>Final completion or handover instrument</t>
        </is>
      </c>
      <c r="I4" s="9" t="inlineStr">
        <is>
          <t>Applicable to this project? (Yes / No / N-A)</t>
        </is>
      </c>
      <c r="J4" s="9" t="inlineStr">
        <is>
          <t>Project permit or NOC number</t>
        </is>
      </c>
      <c r="K4" s="9" t="inlineStr">
        <is>
          <t>Project hold points</t>
        </is>
      </c>
      <c r="L4" s="9" t="inlineStr">
        <is>
          <t>Owner (PMC / contractor / client)</t>
        </is>
      </c>
      <c r="M4" s="9" t="inlineStr">
        <is>
          <t>Status</t>
        </is>
      </c>
    </row>
    <row r="5">
      <c r="A5" s="23" t="inlineStr">
        <is>
          <t>MoIAT / ESMA legacy function</t>
        </is>
      </c>
      <c r="B5" s="23" t="inlineStr">
        <is>
          <t>Ministry of Industry and Advanced Technology; Emirates Authority for Standardization and Metrology legacy function</t>
        </is>
      </c>
      <c r="C5" s="23" t="inlineStr">
        <is>
          <t>Federal; regulated products also reach free zones</t>
        </is>
      </c>
      <c r="D5" s="23" t="inlineStr">
        <is>
          <t>UAE.S standards, technical regulations, product conformity and product safety</t>
        </is>
      </c>
      <c r="E5" s="23" t="inlineStr">
        <is>
          <t>Design, procurement, import, delivery and installation</t>
        </is>
      </c>
      <c r="F5" s="23" t="inlineStr">
        <is>
          <t>Missing conformity, wrong model, unapproved substitution, invalid label or untraceable batch is a procurement/installation NCR</t>
        </is>
      </c>
      <c r="G5" s="23" t="inlineStr">
        <is>
          <t>UAE Certificate of Conformity (ECAS) where applicable, accredited-laboratory report, declaration of conformity, approved submittal and batch/serial traceability</t>
        </is>
      </c>
      <c r="H5" s="23" t="inlineStr">
        <is>
          <t>Product conformity file; **not** a general building completion certificate</t>
        </is>
      </c>
      <c r="I5" s="23" t="inlineStr"/>
      <c r="J5" s="23" t="inlineStr"/>
      <c r="K5" s="23" t="inlineStr"/>
      <c r="L5" s="23" t="inlineStr"/>
      <c r="M5" s="23" t="inlineStr"/>
    </row>
    <row r="6">
      <c r="A6" s="24" t="inlineStr">
        <is>
          <t>General Command of Civil Defence / UAE Fire Code framework</t>
        </is>
      </c>
      <c r="B6" s="24" t="inlineStr">
        <is>
          <t>General Command of Civil Defence; implemented through the relevant emirate Civil Defence authority</t>
        </is>
      </c>
      <c r="C6" s="24" t="inlineStr">
        <is>
          <t>Federal framework; emirate implementation</t>
        </is>
      </c>
      <c r="D6" s="24" t="inlineStr">
        <is>
          <t>UAE Fire and Life Safety Code of Practice: escape, alarm, suppression, passive protection and construction fire safety</t>
        </is>
      </c>
      <c r="E6" s="24" t="inlineStr">
        <is>
          <t>Fire design, material approval, installation, testing and completion</t>
        </is>
      </c>
      <c r="F6" s="24" t="inlineStr">
        <is>
          <t>Fire-stopping, doors, risers, pumps, hydrants, alarms and access are authority-sensitive hold points</t>
        </is>
      </c>
      <c r="G6" s="24" t="inlineStr">
        <is>
          <t>Approved fire drawings, inspection records, commissioning/test certificates and as-built fire plans</t>
        </is>
      </c>
      <c r="H6" s="24" t="inlineStr">
        <is>
          <t>Relevant emirate Civil Defence completion, clearance or compliance certificate</t>
        </is>
      </c>
      <c r="I6" s="24" t="inlineStr"/>
      <c r="J6" s="24" t="inlineStr"/>
      <c r="K6" s="24" t="inlineStr"/>
      <c r="L6" s="24" t="inlineStr"/>
      <c r="M6" s="24" t="inlineStr"/>
    </row>
    <row r="7">
      <c r="A7" s="23" t="inlineStr">
        <is>
          <t>MOCCAE</t>
        </is>
      </c>
      <c r="B7" s="23" t="inlineStr">
        <is>
          <t>Ministry of Climate Change and Environment</t>
        </is>
      </c>
      <c r="C7" s="23" t="inlineStr">
        <is>
          <t>Federal policy; local environmental authorities often issue operating permits</t>
        </is>
      </c>
      <c r="D7" s="23" t="inlineStr">
        <is>
          <t>Environmental licensing/EIA, pollution, waste and discharge controls</t>
        </is>
      </c>
      <c r="E7" s="23" t="inlineStr">
        <is>
          <t>Feasibility/EIA, construction environmental management and operation</t>
        </is>
      </c>
      <c r="F7" s="23" t="inlineStr">
        <is>
          <t>Dust, wastewater, spoil route, waste, contaminated soil, noise and marine-impact breaches remain NCRs until conditions are evidenced</t>
        </is>
      </c>
      <c r="G7" s="23" t="inlineStr">
        <is>
          <t>Applicable environmental licence/EIA approval, environmental management plan, manifests, laboratory results, monitoring reports and inspection outcome</t>
        </is>
      </c>
      <c r="H7" s="23" t="inlineStr">
        <is>
          <t>Final environmental clearance only where issued by the competent authority; **verify current requirement**</t>
        </is>
      </c>
      <c r="I7" s="23" t="inlineStr"/>
      <c r="J7" s="23" t="inlineStr"/>
      <c r="K7" s="23" t="inlineStr"/>
      <c r="L7" s="23" t="inlineStr"/>
      <c r="M7" s="23" t="inlineStr"/>
    </row>
    <row r="8">
      <c r="A8" s="24" t="inlineStr">
        <is>
          <t>MoHRE</t>
        </is>
      </c>
      <c r="B8" s="24" t="inlineStr">
        <is>
          <t>Ministry of Human Resources and Emiratisation</t>
        </is>
      </c>
      <c r="C8" s="24" t="inlineStr">
        <is>
          <t>Federal</t>
        </is>
      </c>
      <c r="D8" s="24" t="inlineStr">
        <is>
          <t>Labour, workplace OHS, accommodation/welfare and heat-stress controls</t>
        </is>
      </c>
      <c r="E8" s="24" t="inlineStr">
        <is>
          <t>Mobilisation, construction, camp operation and incident follow-up</t>
        </is>
      </c>
      <c r="F8" s="24" t="inlineStr">
        <is>
          <t>Unsafe lifting, excavation, scaffolds, PPE, welfare, incident and midday-break findings require risk removal, not a toolbox talk alone</t>
        </is>
      </c>
      <c r="G8" s="24" t="inlineStr">
        <is>
          <t>Corrective-action inspection record, JSA/risk assessment, training/competency, equipment certificates, incident close-out and welfare evidence</t>
        </is>
      </c>
      <c r="H8" s="24" t="inlineStr">
        <is>
          <t>Enforcement/corrective-action record; no general building completion instrument</t>
        </is>
      </c>
      <c r="I8" s="24" t="inlineStr"/>
      <c r="J8" s="24" t="inlineStr"/>
      <c r="K8" s="24" t="inlineStr"/>
      <c r="L8" s="24" t="inlineStr"/>
      <c r="M8" s="24" t="inlineStr"/>
    </row>
    <row r="9">
      <c r="A9" s="23" t="inlineStr">
        <is>
          <t>GCAA</t>
        </is>
      </c>
      <c r="B9" s="23" t="inlineStr">
        <is>
          <t>General Civil Aviation Authority</t>
        </is>
      </c>
      <c r="C9" s="23" t="inlineStr">
        <is>
          <t>Federal; airport/airspace affected areas</t>
        </is>
      </c>
      <c r="D9" s="23" t="inlineStr">
        <is>
          <t>Aerodrome obstacle limitation surfaces, cranes, temporary structures, marking and lighting</t>
        </is>
      </c>
      <c r="E9" s="23" t="inlineStr">
        <is>
          <t>Planning near aerodromes, crane/height approval, temporary works and aviation commissioning</t>
        </is>
      </c>
      <c r="F9" s="23" t="inlineStr">
        <is>
          <t>Height, crane, lighting, laser, dust and work-method non-compliances are controlled conditions beyond local building approval</t>
        </is>
      </c>
      <c r="G9" s="23" t="inlineStr">
        <is>
          <t>Applicable GCAA/air-navigation approval or NOC, approved coordinates/heights, aeronautical survey, obstacle-lighting test and removal record</t>
        </is>
      </c>
      <c r="H9" s="23" t="inlineStr">
        <is>
          <t>Aviation release or aerodrome/operator acceptance; not a general building certificate</t>
        </is>
      </c>
      <c r="I9" s="23" t="inlineStr"/>
      <c r="J9" s="23" t="inlineStr"/>
      <c r="K9" s="23" t="inlineStr"/>
      <c r="L9" s="23" t="inlineStr"/>
      <c r="M9" s="23" t="inlineStr"/>
    </row>
    <row r="10">
      <c r="A10" s="24" t="inlineStr">
        <is>
          <t>MoEI</t>
        </is>
      </c>
      <c r="B10" s="24" t="inlineStr">
        <is>
          <t>Ministry of Energy and Infrastructure; federal transport/road functions</t>
        </is>
      </c>
      <c r="C10" s="24" t="inlineStr">
        <is>
          <t>Federal roads and infrastructure</t>
        </is>
      </c>
      <c r="D10" s="24" t="inlineStr">
        <is>
          <t>Federal-road access, crossings, drainage, utilities and reinstatement NOCs</t>
        </is>
      </c>
      <c r="E10" s="24" t="inlineStr">
        <is>
          <t>Pre-construction NOC, crossings/access, construction and final inspection</t>
        </is>
      </c>
      <c r="F10" s="24" t="inlineStr">
        <is>
          <t>Road crossing, access, protection-zone or reinstatement breach is an NOC-condition NCR</t>
        </is>
      </c>
      <c r="G10" s="24" t="inlineStr">
        <is>
          <t>Original NOC, approved traffic/utility drawings, inspection and reinstatement records, as-builts</t>
        </is>
      </c>
      <c r="H10" s="24" t="inlineStr">
        <is>
          <t>**Completion of Non-Objection Certificate** where MoEI is the issuer</t>
        </is>
      </c>
      <c r="I10" s="24" t="inlineStr"/>
      <c r="J10" s="24" t="inlineStr"/>
      <c r="K10" s="24" t="inlineStr"/>
      <c r="L10" s="24" t="inlineStr"/>
      <c r="M10" s="24" t="inlineStr"/>
    </row>
    <row r="11">
      <c r="A11" s="23" t="inlineStr">
        <is>
          <t>Ministry of Economy and Tourism</t>
        </is>
      </c>
      <c r="B11" s="23" t="inlineStr">
        <is>
          <t>Ministry of Economy and Tourism</t>
        </is>
      </c>
      <c r="C11" s="23" t="inlineStr">
        <is>
          <t>Federal</t>
        </is>
      </c>
      <c r="D11" s="23" t="inlineStr">
        <is>
          <t>Commercial, supplier, warranty and consumer-protection framework</t>
        </is>
      </c>
      <c r="E11" s="23" t="inlineStr">
        <is>
          <t>Supplier appointment, commercial supply and warranty period</t>
        </is>
      </c>
      <c r="F11" s="23" t="inlineStr">
        <is>
          <t>Supports supplier identity/warranty evidence; does not technically close an installed-work NCR</t>
        </is>
      </c>
      <c r="G11" s="23" t="inlineStr">
        <is>
          <t>Trade licence, contract/invoice, warranty and recall/corrective-action record, with technical conformity evidence from the competent body</t>
        </is>
      </c>
      <c r="H11" s="23" t="inlineStr">
        <is>
          <t>Commercial/warranty record; no construction completion certificate</t>
        </is>
      </c>
      <c r="I11" s="23" t="inlineStr"/>
      <c r="J11" s="23" t="inlineStr"/>
      <c r="K11" s="23" t="inlineStr"/>
      <c r="L11" s="23" t="inlineStr"/>
      <c r="M11" s="23" t="inlineStr"/>
    </row>
    <row r="12">
      <c r="A12" s="24" t="inlineStr">
        <is>
          <t>UAE Cabinet / federal legislation</t>
        </is>
      </c>
      <c r="B12" s="24" t="inlineStr">
        <is>
          <t>UAE Cabinet and federal legal framework</t>
        </is>
      </c>
      <c r="C12" s="24" t="inlineStr">
        <is>
          <t>Federal</t>
        </is>
      </c>
      <c r="D12" s="24" t="inlineStr">
        <is>
          <t>Federal laws, executive regulations, fees and technical/product-control decisions</t>
        </is>
      </c>
      <c r="E12" s="24" t="inlineStr">
        <is>
          <t>Regulatory mapping, product controls and changes needing legal/technical approval</t>
        </is>
      </c>
      <c r="F12" s="24" t="inlineStr">
        <is>
          <t>Each NCR must cite the governing law, Cabinet decision, technical regulation or permit condition; consultant approval cannot override a mandatory rule</t>
        </is>
      </c>
      <c r="G12" s="24" t="inlineStr">
        <is>
          <t>Official law/Cabinet reference, authority correspondence, conformity or recall/withdrawal evidence and accepted risk assessment where permitted</t>
        </is>
      </c>
      <c r="H12" s="24" t="inlineStr">
        <is>
          <t>No project completion instrument; applies through the competent issuing authority</t>
        </is>
      </c>
      <c r="I12" s="24" t="inlineStr"/>
      <c r="J12" s="24" t="inlineStr"/>
      <c r="K12" s="24" t="inlineStr"/>
      <c r="L12" s="24" t="inlineStr"/>
      <c r="M12" s="24" t="inlineStr"/>
    </row>
    <row r="13">
      <c r="A13" s="23" t="inlineStr">
        <is>
          <t>Dubai Municipality (DM)</t>
        </is>
      </c>
      <c r="B13" s="23" t="inlineStr">
        <is>
          <t>Dubai Municipality, Buildings Regulation and Permits Agency</t>
        </is>
      </c>
      <c r="C13" s="23" t="inlineStr">
        <is>
          <t>Dubai buildings under DM jurisdiction</t>
        </is>
      </c>
      <c r="D13" s="23" t="inlineStr">
        <is>
          <t>Building permits, technical inspections, registration and building completion</t>
        </is>
      </c>
      <c r="E13" s="23" t="inlineStr">
        <is>
          <t>Design/permit, construction inspections and occupancy/completion</t>
        </is>
      </c>
      <c r="F13" s="23" t="inlineStr">
        <is>
          <t>Approved drawings, Dubai Building Code requirements, inspection hold points and permit conditions define corrective work</t>
        </is>
      </c>
      <c r="G13" s="23" t="inlineStr">
        <is>
          <t>DM inspection result, approved inspection request, stamped as-builts and supporting tests</t>
        </is>
      </c>
      <c r="H13" s="23" t="inlineStr">
        <is>
          <t>**DM Building Completion Certificate**</t>
        </is>
      </c>
      <c r="I13" s="23" t="inlineStr"/>
      <c r="J13" s="23" t="inlineStr"/>
      <c r="K13" s="23" t="inlineStr"/>
      <c r="L13" s="23" t="inlineStr"/>
      <c r="M13" s="23" t="inlineStr"/>
    </row>
    <row r="14">
      <c r="A14" s="24" t="inlineStr">
        <is>
          <t>DDA</t>
        </is>
      </c>
      <c r="B14" s="24" t="inlineStr">
        <is>
          <t>Dubai Development Authority</t>
        </is>
      </c>
      <c r="C14" s="24" t="inlineStr">
        <is>
          <t>Dubai Development Authority/TECOM areas</t>
        </is>
      </c>
      <c r="D14" s="24" t="inlineStr">
        <is>
          <t>Planning, construction permits, inspections, building completion and tenant fit-out</t>
        </is>
      </c>
      <c r="E14" s="24" t="inlineStr">
        <is>
          <t>Permit, structural/final inspection, fit-out and handover</t>
        </is>
      </c>
      <c r="F14" s="24" t="inlineStr">
        <is>
          <t>Major comments must be closed; approved drawings, survey and structural completion are release criteria</t>
        </is>
      </c>
      <c r="G14" s="24" t="inlineStr">
        <is>
          <t>DDA inspection records, approved drawings, consultant compliance, DCD, sewer, traffic and owner evidence as applicable</t>
        </is>
      </c>
      <c r="H14" s="24" t="inlineStr">
        <is>
          <t>**DDA Building Completion Certificate** or **DDA Fit-out Completion Certificate**</t>
        </is>
      </c>
      <c r="I14" s="24" t="inlineStr"/>
      <c r="J14" s="24" t="inlineStr"/>
      <c r="K14" s="24" t="inlineStr"/>
      <c r="L14" s="24" t="inlineStr"/>
      <c r="M14" s="24" t="inlineStr"/>
    </row>
    <row r="15">
      <c r="A15" s="23" t="inlineStr">
        <is>
          <t>Trakhees / PCFC</t>
        </is>
      </c>
      <c r="B15" s="23" t="inlineStr">
        <is>
          <t>Trakhees Civil Engineering Department, Ports, Customs and Free Zone Corporation</t>
        </is>
      </c>
      <c r="C15" s="23" t="inlineStr">
        <is>
          <t>PCFC jurisdiction in Dubai</t>
        </is>
      </c>
      <c r="D15" s="23" t="inlineStr">
        <is>
          <t>Construction/modification permits and NOCs, inspections and compliance</t>
        </is>
      </c>
      <c r="E15" s="23" t="inlineStr">
        <is>
          <t>Before construction/fit-out, site inspections and before occupation</t>
        </is>
      </c>
      <c r="F15" s="23" t="inlineStr">
        <is>
          <t>Work is checked against approved drawings, Modification Permit/NOC and regulations; pending comments require reinspection</t>
        </is>
      </c>
      <c r="G15" s="23" t="inlineStr">
        <is>
          <t>Approved inspection status, reinspection record, approved drawings, system download and relevant clearances</t>
        </is>
      </c>
      <c r="H15" s="23" t="inlineStr">
        <is>
          <t>**Modification Completion Certificate (MCC)**; occupation/use/storage is prohibited before issue</t>
        </is>
      </c>
      <c r="I15" s="23" t="inlineStr"/>
      <c r="J15" s="23" t="inlineStr"/>
      <c r="K15" s="23" t="inlineStr"/>
      <c r="L15" s="23" t="inlineStr"/>
      <c r="M15" s="23" t="inlineStr"/>
    </row>
    <row r="16">
      <c r="A16" s="24" t="inlineStr">
        <is>
          <t>DCD</t>
        </is>
      </c>
      <c r="B16" s="24" t="inlineStr">
        <is>
          <t>General Command of Dubai Civil Defence</t>
        </is>
      </c>
      <c r="C16" s="24" t="inlineStr">
        <is>
          <t>Dubai</t>
        </is>
      </c>
      <c r="D16" s="24" t="inlineStr">
        <is>
          <t>Fire/life-safety engineering, fire systems, hazardous materials and emergency readiness</t>
        </is>
      </c>
      <c r="E16" s="24" t="inlineStr">
        <is>
          <t>Design review, installation/testing and final inspection before occupancy</t>
        </is>
      </c>
      <c r="F16" s="24" t="inlineStr">
        <is>
          <t>Fire-stopping, alarms, sprinklers, smoke control, pumps, exits and signage are fire hold points</t>
        </is>
      </c>
      <c r="G16" s="24" t="inlineStr">
        <is>
          <t>Approved DCD drawings, witnessed inspection/test and commissioning records</t>
        </is>
      </c>
      <c r="H16" s="24" t="inlineStr">
        <is>
          <t>DCD Civil Defence completion/fire-safety certificate required by the applicable completion route</t>
        </is>
      </c>
      <c r="I16" s="24" t="inlineStr"/>
      <c r="J16" s="24" t="inlineStr"/>
      <c r="K16" s="24" t="inlineStr"/>
      <c r="L16" s="24" t="inlineStr"/>
      <c r="M16" s="24" t="inlineStr"/>
    </row>
    <row r="17">
      <c r="A17" s="23" t="inlineStr">
        <is>
          <t>RTA Dubai</t>
        </is>
      </c>
      <c r="B17" s="23" t="inlineStr">
        <is>
          <t>Roads and Transport Authority</t>
        </is>
      </c>
      <c r="C17" s="23" t="inlineStr">
        <is>
          <t>Dubai</t>
        </is>
      </c>
      <c r="D17" s="23" t="inlineStr">
        <is>
          <t>Roads, right-of-way, traffic/access, utilities interfaces and rail protection</t>
        </is>
      </c>
      <c r="E17" s="23" t="inlineStr">
        <is>
          <t>Traffic/access design, NOC review, construction and phased monitoring near assets</t>
        </is>
      </c>
      <c r="F17" s="23" t="inlineStr">
        <is>
          <t>NOC conditions govern methods, surveys, risk assessment, monitoring and asset protection; a material change can require resubmission</t>
        </is>
      </c>
      <c r="G17" s="23" t="inlineStr">
        <is>
          <t>Current approved design/construction/rail NOC, inspection/site release, traffic approval and monitoring/as-built reports</t>
        </is>
      </c>
      <c r="H17" s="23" t="inlineStr">
        <is>
          <t>Relevant RTA road/ROW/rail NOC close-out, clearance or accepted reinstatement record</t>
        </is>
      </c>
      <c r="I17" s="23" t="inlineStr"/>
      <c r="J17" s="23" t="inlineStr"/>
      <c r="K17" s="23" t="inlineStr"/>
      <c r="L17" s="23" t="inlineStr"/>
      <c r="M17" s="23" t="inlineStr"/>
    </row>
    <row r="18">
      <c r="A18" s="24" t="inlineStr">
        <is>
          <t>DLD / RERA</t>
        </is>
      </c>
      <c r="B18" s="24" t="inlineStr">
        <is>
          <t>Dubai Land Department / Real Estate Regulatory Agency</t>
        </is>
      </c>
      <c r="C18" s="24" t="inlineStr">
        <is>
          <t>Dubai</t>
        </is>
      </c>
      <c r="D18" s="24" t="inlineStr">
        <is>
          <t>Project registration, escrow/developer oversight, purchaser-facing status and property registration</t>
        </is>
      </c>
      <c r="E18" s="24" t="inlineStr">
        <is>
          <t>Registration, sales/escrow monitoring, completion/status reporting and downstream unit registration</t>
        </is>
      </c>
      <c r="F18" s="24" t="inlineStr">
        <is>
          <t>Not normally a technical SOR/NCR inspector; project status must not be used as technical acceptance</t>
        </is>
      </c>
      <c r="G18" s="24" t="inlineStr">
        <is>
          <t>DLD Project Status Enquiry, developer completion submissions and registration/title evidence as applicable</t>
        </is>
      </c>
      <c r="H18" s="24" t="inlineStr">
        <is>
          <t>Downstream registration/status evidence; not a substitute for DM/free-zone/Civil Defence completion</t>
        </is>
      </c>
      <c r="I18" s="24" t="inlineStr"/>
      <c r="J18" s="24" t="inlineStr"/>
      <c r="K18" s="24" t="inlineStr"/>
      <c r="L18" s="24" t="inlineStr"/>
      <c r="M18" s="24" t="inlineStr"/>
    </row>
    <row r="19">
      <c r="A19" s="23" t="inlineStr">
        <is>
          <t>JAFZA</t>
        </is>
      </c>
      <c r="B19" s="23" t="inlineStr">
        <is>
          <t>Jebel Ali Free Zone Authority</t>
        </is>
      </c>
      <c r="C19" s="23" t="inlineStr">
        <is>
          <t>Dubai free zone</t>
        </is>
      </c>
      <c r="D19" s="23" t="inlineStr">
        <is>
          <t>Estate access, lease, modification/fit-out permissions, HSE and NOCs</t>
        </is>
      </c>
      <c r="E19" s="23" t="inlineStr">
        <is>
          <t>Before modification/fit-out, during estate controls and at occupation handover</t>
        </is>
      </c>
      <c r="F19" s="23" t="inlineStr">
        <is>
          <t>The zone approval is separate from statutory approvals; its published modification NOC is a scope-control gate</t>
        </is>
      </c>
      <c r="G19" s="23" t="inlineStr">
        <is>
          <t>Zone-issued modification NOC, inspection/clearance and applicable external certificates</t>
        </is>
      </c>
      <c r="H19" s="23" t="inlineStr">
        <is>
          <t>JAFZA modification/fit-out approval or handover letter as applicable; **verify current requirement**</t>
        </is>
      </c>
      <c r="I19" s="23" t="inlineStr"/>
      <c r="J19" s="23" t="inlineStr"/>
      <c r="K19" s="23" t="inlineStr"/>
      <c r="L19" s="23" t="inlineStr"/>
      <c r="M19" s="23" t="inlineStr"/>
    </row>
    <row r="20">
      <c r="A20" s="24" t="inlineStr">
        <is>
          <t>DMCC</t>
        </is>
      </c>
      <c r="B20" s="24" t="inlineStr">
        <is>
          <t>Dubai Multi Commodities Centre authority</t>
        </is>
      </c>
      <c r="C20" s="24" t="inlineStr">
        <is>
          <t>Dubai free zone</t>
        </is>
      </c>
      <c r="D20" s="24" t="inlineStr">
        <is>
          <t>Estate, lease, fit-out/construction, access and HSE controls</t>
        </is>
      </c>
      <c r="E20" s="24" t="inlineStr">
        <is>
          <t>Before fit-out/modification, during estate inspection and handover</t>
        </is>
      </c>
      <c r="F20" s="24" t="inlineStr">
        <is>
          <t>Zone permit conditions and approved fit-out scope remain separate from DM/DCD/utility conditions</t>
        </is>
      </c>
      <c r="G20" s="24" t="inlineStr">
        <is>
          <t>Current zone NOC/fit-out approval, inspection/clearance and applicable statutory approvals</t>
        </is>
      </c>
      <c r="H20" s="24" t="inlineStr">
        <is>
          <t>Zone handover/trade or fit-out approval; **verify current requirement**</t>
        </is>
      </c>
      <c r="I20" s="24" t="inlineStr"/>
      <c r="J20" s="24" t="inlineStr"/>
      <c r="K20" s="24" t="inlineStr"/>
      <c r="L20" s="24" t="inlineStr"/>
      <c r="M20" s="24" t="inlineStr"/>
    </row>
    <row r="21">
      <c r="A21" s="23" t="inlineStr">
        <is>
          <t>DAFZA</t>
        </is>
      </c>
      <c r="B21" s="23" t="inlineStr">
        <is>
          <t>Dubai Airport Freezone Authority</t>
        </is>
      </c>
      <c r="C21" s="23" t="inlineStr">
        <is>
          <t>Dubai free zone</t>
        </is>
      </c>
      <c r="D21" s="23" t="inlineStr">
        <is>
          <t>Estate, lease, fit-out/construction, access and HSE controls</t>
        </is>
      </c>
      <c r="E21" s="23" t="inlineStr">
        <is>
          <t>Before fit-out/modification, during estate inspection and handover</t>
        </is>
      </c>
      <c r="F21" s="23" t="inlineStr">
        <is>
          <t>Zone permit conditions and approved scope form separate acceptance criteria</t>
        </is>
      </c>
      <c r="G21" s="23" t="inlineStr">
        <is>
          <t>Current zone NOC/fit-out approval, inspection/clearance and applicable statutory approvals</t>
        </is>
      </c>
      <c r="H21" s="23" t="inlineStr">
        <is>
          <t>Zone handover/trade or fit-out approval; **verify current requirement**</t>
        </is>
      </c>
      <c r="I21" s="23" t="inlineStr"/>
      <c r="J21" s="23" t="inlineStr"/>
      <c r="K21" s="23" t="inlineStr"/>
      <c r="L21" s="23" t="inlineStr"/>
      <c r="M21" s="23" t="inlineStr"/>
    </row>
    <row r="22">
      <c r="A22" s="24" t="inlineStr">
        <is>
          <t>Dubai South</t>
        </is>
      </c>
      <c r="B22" s="24" t="inlineStr">
        <is>
          <t>Dubai South master/free-zone authority</t>
        </is>
      </c>
      <c r="C22" s="24" t="inlineStr">
        <is>
          <t>Dubai free-zone/master-development area</t>
        </is>
      </c>
      <c r="D22" s="24" t="inlineStr">
        <is>
          <t>Estate, lease, construction/fit-out permissions, access and HSE</t>
        </is>
      </c>
      <c r="E22" s="24" t="inlineStr">
        <is>
          <t>Before works, during estate inspection and at handover</t>
        </is>
      </c>
      <c r="F22" s="24" t="inlineStr">
        <is>
          <t>Do not assume a DM/DCD approval replaces the estate-specific NOC or approved scope</t>
        </is>
      </c>
      <c r="G22" s="24" t="inlineStr">
        <is>
          <t>Current zone NOC/fit-out approval, inspection/clearance and applicable statutory approvals</t>
        </is>
      </c>
      <c r="H22" s="24" t="inlineStr">
        <is>
          <t>Zone handover/trade or fit-out approval; **verify current requirement**</t>
        </is>
      </c>
      <c r="I22" s="24" t="inlineStr"/>
      <c r="J22" s="24" t="inlineStr"/>
      <c r="K22" s="24" t="inlineStr"/>
      <c r="L22" s="24" t="inlineStr"/>
      <c r="M22" s="24" t="inlineStr"/>
    </row>
    <row r="23">
      <c r="A23" s="23" t="inlineStr">
        <is>
          <t>Expo City Dubai</t>
        </is>
      </c>
      <c r="B23" s="23" t="inlineStr">
        <is>
          <t>Expo City Dubai master/free-zone authority</t>
        </is>
      </c>
      <c r="C23" s="23" t="inlineStr">
        <is>
          <t>Dubai master-development/free-zone area</t>
        </is>
      </c>
      <c r="D23" s="23" t="inlineStr">
        <is>
          <t>Estate, lease, construction/fit-out permissions, access and HSE</t>
        </is>
      </c>
      <c r="E23" s="23" t="inlineStr">
        <is>
          <t>Before works, during estate inspection and at handover</t>
        </is>
      </c>
      <c r="F23" s="23" t="inlineStr">
        <is>
          <t>Estate interface and approved fit-out scope remain distinct from statutory approvals</t>
        </is>
      </c>
      <c r="G23" s="23" t="inlineStr">
        <is>
          <t>Current zone NOC/fit-out approval, inspection/clearance and applicable statutory approvals</t>
        </is>
      </c>
      <c r="H23" s="23" t="inlineStr">
        <is>
          <t>Zone handover/trade or fit-out approval; **verify current requirement**</t>
        </is>
      </c>
      <c r="I23" s="23" t="inlineStr"/>
      <c r="J23" s="23" t="inlineStr"/>
      <c r="K23" s="23" t="inlineStr"/>
      <c r="L23" s="23" t="inlineStr"/>
      <c r="M23" s="23" t="inlineStr"/>
    </row>
    <row r="24">
      <c r="A24" s="24" t="inlineStr">
        <is>
          <t>Dubai Central Laboratory</t>
        </is>
      </c>
      <c r="B24" s="24" t="inlineStr">
        <is>
          <t>Dubai Central Laboratory, Dubai Municipality</t>
        </is>
      </c>
      <c r="C24" s="24" t="inlineStr">
        <is>
          <t>Dubai</t>
        </is>
      </c>
      <c r="D24" s="24" t="inlineStr">
        <is>
          <t>Municipal material/product conformity and testing services</t>
        </is>
      </c>
      <c r="E24" s="24" t="inlineStr">
        <is>
          <t>Material submittal, source approval, sampling/testing and material-NCR disposition</t>
        </is>
      </c>
      <c r="F24" s="24" t="inlineStr">
        <is>
          <t>Material NCRs require quarantine, traceable sampling, replacement/approved disposition or compliant testing</t>
        </is>
      </c>
      <c r="G24" s="24" t="inlineStr">
        <is>
          <t>Recognised lab report, product conformity/approval evidence, chain-of-custody and consultant/authority acceptance</t>
        </is>
      </c>
      <c r="H24" s="24" t="inlineStr">
        <is>
          <t>Test/conformity record; no unsupported “Central Laboratory completion certificate”; **verify current requirement**</t>
        </is>
      </c>
      <c r="I24" s="24" t="inlineStr"/>
      <c r="J24" s="24" t="inlineStr"/>
      <c r="K24" s="24" t="inlineStr"/>
      <c r="L24" s="24" t="inlineStr"/>
      <c r="M24" s="24" t="inlineStr"/>
    </row>
    <row r="25">
      <c r="A25" s="23" t="inlineStr">
        <is>
          <t>DMT</t>
        </is>
      </c>
      <c r="B25" s="23" t="inlineStr">
        <is>
          <t>Department of Municipalities and Transport</t>
        </is>
      </c>
      <c r="C25" s="23" t="inlineStr">
        <is>
          <t>Abu Dhabi Emirate</t>
        </is>
      </c>
      <c r="D25" s="23" t="inlineStr">
        <is>
          <t>Planning, municipal development controls, permits and completion processes</t>
        </is>
      </c>
      <c r="E25" s="23" t="inlineStr">
        <is>
          <t>Planning/design, permitting, construction inspection and completion/handover</t>
        </is>
      </c>
      <c r="F25" s="23" t="inlineStr">
        <is>
          <t>Permit conditions, approved drawings, inspections and unapproved changes create observations/NCRs</t>
        </is>
      </c>
      <c r="G25" s="23" t="inlineStr">
        <is>
          <t>Approved permit/as-builts, inspection records and approved amendments</t>
        </is>
      </c>
      <c r="H25" s="23" t="inlineStr">
        <is>
          <t>Municipal certificate-of-completion file/service, as applicable</t>
        </is>
      </c>
      <c r="I25" s="23" t="inlineStr"/>
      <c r="J25" s="23" t="inlineStr"/>
      <c r="K25" s="23" t="inlineStr"/>
      <c r="L25" s="23" t="inlineStr"/>
      <c r="M25" s="23" t="inlineStr"/>
    </row>
    <row r="26">
      <c r="A26" s="24" t="inlineStr">
        <is>
          <t>ADCM</t>
        </is>
      </c>
      <c r="B26" s="24" t="inlineStr">
        <is>
          <t>Abu Dhabi City Municipality</t>
        </is>
      </c>
      <c r="C26" s="24" t="inlineStr">
        <is>
          <t>Abu Dhabi City</t>
        </is>
      </c>
      <c r="D26" s="24" t="inlineStr">
        <is>
          <t>Municipal building control, permit review, site work, completion and occupancy</t>
        </is>
      </c>
      <c r="E26" s="24" t="inlineStr">
        <is>
          <t>Permit review, site inspection and completion/occupancy</t>
        </is>
      </c>
      <c r="F26" s="24" t="inlineStr">
        <is>
          <t>Municipal comments and permit conditions require corrective work and reinspection; photographs alone do not close them</t>
        </is>
      </c>
      <c r="G26" s="24" t="inlineStr">
        <is>
          <t>Municipality inspection/approval record, approved as-builts and completion documentation</t>
        </is>
      </c>
      <c r="H26" s="24" t="inlineStr">
        <is>
          <t>Municipal/TAMM completion or occupancy documentation</t>
        </is>
      </c>
      <c r="I26" s="24" t="inlineStr"/>
      <c r="J26" s="24" t="inlineStr"/>
      <c r="K26" s="24" t="inlineStr"/>
      <c r="L26" s="24" t="inlineStr"/>
      <c r="M26" s="24" t="inlineStr"/>
    </row>
    <row r="27">
      <c r="A27" s="23" t="inlineStr">
        <is>
          <t>ADCDA</t>
        </is>
      </c>
      <c r="B27" s="23" t="inlineStr">
        <is>
          <t>Abu Dhabi Civil Defence Authority</t>
        </is>
      </c>
      <c r="C27" s="23" t="inlineStr">
        <is>
          <t>Abu Dhabi Emirate</t>
        </is>
      </c>
      <c r="D27" s="23" t="inlineStr">
        <is>
          <t>Fire prevention, life safety, evacuation and firefighting systems</t>
        </is>
      </c>
      <c r="E27" s="23" t="inlineStr">
        <is>
          <t>Design approval, installation/testing and pre-occupation</t>
        </is>
      </c>
      <c r="F27" s="23" t="inlineStr">
        <is>
          <t>Fire-stopping, alarms, sprinklers, pumps, emergency lighting and access are inspected hold points</t>
        </is>
      </c>
      <c r="G27" s="23" t="inlineStr">
        <is>
          <t>Approved fire drawings, inspection/test and commissioning records</t>
        </is>
      </c>
      <c r="H27" s="23" t="inlineStr">
        <is>
          <t>ADCDA Certificate of Compliance / Fire Safety and Protection Equipment certificate</t>
        </is>
      </c>
      <c r="I27" s="23" t="inlineStr"/>
      <c r="J27" s="23" t="inlineStr"/>
      <c r="K27" s="23" t="inlineStr"/>
      <c r="L27" s="23" t="inlineStr"/>
      <c r="M27" s="23" t="inlineStr"/>
    </row>
    <row r="28">
      <c r="A28" s="24" t="inlineStr">
        <is>
          <t>ADQCC / QCC</t>
        </is>
      </c>
      <c r="B28" s="24" t="inlineStr">
        <is>
          <t>Abu Dhabi Quality and Conformity Council</t>
        </is>
      </c>
      <c r="C28" s="24" t="inlineStr">
        <is>
          <t>Abu Dhabi Emirate</t>
        </is>
      </c>
      <c r="D28" s="24" t="inlineStr">
        <is>
          <t>Product conformity, technical regulations, testing and Trustmark/conformity schemes</t>
        </is>
      </c>
      <c r="E28" s="24" t="inlineStr">
        <is>
          <t>Before incorporation of specified products and during surveillance</t>
        </is>
      </c>
      <c r="F28" s="24" t="inlineStr">
        <is>
          <t>Wrong model, expired certificate, nonconforming batch or missing traceability requires quarantine, replacement and/or retest</t>
        </is>
      </c>
      <c r="G28" s="24" t="inlineStr">
        <is>
          <t>Valid Product Conformity Certificate, accredited-lab report, batch records and approved material submittal</t>
        </is>
      </c>
      <c r="H28" s="24" t="inlineStr">
        <is>
          <t>Product-conformity record; no building completion certificate</t>
        </is>
      </c>
      <c r="I28" s="24" t="inlineStr"/>
      <c r="J28" s="24" t="inlineStr"/>
      <c r="K28" s="24" t="inlineStr"/>
      <c r="L28" s="24" t="inlineStr"/>
      <c r="M28" s="24" t="inlineStr"/>
    </row>
    <row r="29">
      <c r="A29" s="23" t="inlineStr">
        <is>
          <t>EAD</t>
        </is>
      </c>
      <c r="B29" s="23" t="inlineStr">
        <is>
          <t>Environment Agency – Abu Dhabi</t>
        </is>
      </c>
      <c r="C29" s="23" t="inlineStr">
        <is>
          <t>Abu Dhabi Emirate</t>
        </is>
      </c>
      <c r="D29" s="23" t="inlineStr">
        <is>
          <t>Environmental permitting, impacts, waste, emissions, biodiversity and protected areas</t>
        </is>
      </c>
      <c r="E29" s="23" t="inlineStr">
        <is>
          <t>Feasibility/EIA, pre-construction approval and construction monitoring</t>
        </is>
      </c>
      <c r="F29" s="23" t="inlineStr">
        <is>
          <t>Dust, noise, waste, discharge, habitat and spill-control permit conditions become NCR criteria</t>
        </is>
      </c>
      <c r="G29" s="23" t="inlineStr">
        <is>
          <t>Environmental permit/NOC, monitoring, waste records, compliance report and inspection outcome</t>
        </is>
      </c>
      <c r="H29" s="23" t="inlineStr">
        <is>
          <t>Environmental clearance/acceptance where the permit provides one; **verify current requirement**</t>
        </is>
      </c>
      <c r="I29" s="23" t="inlineStr"/>
      <c r="J29" s="23" t="inlineStr"/>
      <c r="K29" s="23" t="inlineStr"/>
      <c r="L29" s="23" t="inlineStr"/>
      <c r="M29" s="23" t="inlineStr"/>
    </row>
    <row r="30">
      <c r="A30" s="24" t="inlineStr">
        <is>
          <t>ADOSH / OSHAD</t>
        </is>
      </c>
      <c r="B30" s="24" t="inlineStr">
        <is>
          <t>Abu Dhabi Occupational Safety and Health Center / Abu Dhabi OSH System Framework</t>
        </is>
      </c>
      <c r="C30" s="24" t="inlineStr">
        <is>
          <t>Abu Dhabi Emirate</t>
        </is>
      </c>
      <c r="D30" s="24" t="inlineStr">
        <is>
          <t>Emirate OSH framework and construction Codes of Practice</t>
        </is>
      </c>
      <c r="E30" s="24" t="inlineStr">
        <is>
          <t>Before mobilisation and continuously during construction</t>
        </is>
      </c>
      <c r="F30" s="24" t="inlineStr">
        <is>
          <t>Audits/inspections create corrective actions; OSH-CMP requires response timelines and corrective-action reporting</t>
        </is>
      </c>
      <c r="G30" s="24" t="inlineStr">
        <is>
          <t>Live/approved OSH-CMP, audit/inspection reports, training, incident and corrective-action reports</t>
        </is>
      </c>
      <c r="H30" s="24" t="inlineStr">
        <is>
          <t>Authority/SRA acceptance where required; otherwise controlled OSH close-out record</t>
        </is>
      </c>
      <c r="I30" s="24" t="inlineStr"/>
      <c r="J30" s="24" t="inlineStr"/>
      <c r="K30" s="24" t="inlineStr"/>
      <c r="L30" s="24" t="inlineStr"/>
      <c r="M30" s="24" t="inlineStr"/>
    </row>
    <row r="31">
      <c r="A31" s="23" t="inlineStr">
        <is>
          <t>Estidama Pearl Rating System</t>
        </is>
      </c>
      <c r="B31" s="23" t="inlineStr">
        <is>
          <t>DMT-administered sustainability rating system and Pearl Assessor process</t>
        </is>
      </c>
      <c r="C31" s="23" t="inlineStr">
        <is>
          <t>Abu Dhabi Emirate</t>
        </is>
      </c>
      <c r="D31" s="23" t="inlineStr">
        <is>
          <t>Sustainability design, construction and operation rating requirements</t>
        </is>
      </c>
      <c r="E31" s="23" t="inlineStr">
        <is>
          <t>Design rating, construction evidence collection and completion before handover</t>
        </is>
      </c>
      <c r="F31" s="23" t="inlineStr">
        <is>
          <t>Missed credits, substitutions, commissioning and as-built deviations are sustainability NCRs</t>
        </is>
      </c>
      <c r="G31" s="23" t="inlineStr">
        <is>
          <t>PQP quality-checked submission, product/test/commissioning records, as-builts/photos and Pearl Assessor decision</t>
        </is>
      </c>
      <c r="H31" s="23" t="inlineStr">
        <is>
          <t>Pearl verification/rating decision; not a substitute for statutory completion</t>
        </is>
      </c>
      <c r="I31" s="23" t="inlineStr"/>
      <c r="J31" s="23" t="inlineStr"/>
      <c r="K31" s="23" t="inlineStr"/>
      <c r="L31" s="23" t="inlineStr"/>
      <c r="M31" s="23" t="inlineStr"/>
    </row>
    <row r="32">
      <c r="A32" s="24" t="inlineStr">
        <is>
          <t>ADIBC</t>
        </is>
      </c>
      <c r="B32" s="24" t="inlineStr">
        <is>
          <t>Abu Dhabi International Building Code; enforced by the applicable building official</t>
        </is>
      </c>
      <c r="C32" s="24" t="inlineStr">
        <is>
          <t>Abu Dhabi Emirate</t>
        </is>
      </c>
      <c r="D32" s="24" t="inlineStr">
        <is>
          <t>Building minimums, permits, inspections, occupancy, utilities and violations</t>
        </is>
      </c>
      <c r="E32" s="24" t="inlineStr">
        <is>
          <t>Design approval through final inspection and occupancy</t>
        </is>
      </c>
      <c r="F32" s="24" t="inlineStr">
        <is>
          <t>Work must remain accessible until approved; concealed work without inspection can require opening-up</t>
        </is>
      </c>
      <c r="G32" s="24" t="inlineStr">
        <is>
          <t>Permit, required inspection approvals, approved tests and as-builts</t>
        </is>
      </c>
      <c r="H32" s="24" t="inlineStr">
        <is>
          <t>Certificate of occupancy/completion through the competent municipal process</t>
        </is>
      </c>
      <c r="I32" s="24" t="inlineStr"/>
      <c r="J32" s="24" t="inlineStr"/>
      <c r="K32" s="24" t="inlineStr"/>
      <c r="L32" s="24" t="inlineStr"/>
      <c r="M32" s="24" t="inlineStr"/>
    </row>
    <row r="33">
      <c r="A33" s="23" t="inlineStr">
        <is>
          <t>DoE Abu Dhabi</t>
        </is>
      </c>
      <c r="B33" s="23" t="inlineStr">
        <is>
          <t>Department of Energy</t>
        </is>
      </c>
      <c r="C33" s="23" t="inlineStr">
        <is>
          <t>Abu Dhabi Emirate</t>
        </is>
      </c>
      <c r="D33" s="23" t="inlineStr">
        <is>
          <t>Energy-sector technical regulation and safe electrical installations</t>
        </is>
      </c>
      <c r="E33" s="23" t="inlineStr">
        <is>
          <t>Electrical design, installation, testing and energisation</t>
        </is>
      </c>
      <c r="F33" s="23" t="inlineStr">
        <is>
          <t>Unlicensed work, failed insulation/earth tests, unapproved equipment and unnotified alterations are electrical NCRs</t>
        </is>
      </c>
      <c r="G33" s="23" t="inlineStr">
        <is>
          <t>Licensed-contractor test forms, distributor inspection/test acceptance and energisation/connection approval</t>
        </is>
      </c>
      <c r="H33" s="23" t="inlineStr">
        <is>
          <t>Applicable distribution-company completion/connection evidence; **verify current requirement**</t>
        </is>
      </c>
      <c r="I33" s="23" t="inlineStr"/>
      <c r="J33" s="23" t="inlineStr"/>
      <c r="K33" s="23" t="inlineStr"/>
      <c r="L33" s="23" t="inlineStr"/>
      <c r="M33" s="23" t="inlineStr"/>
    </row>
    <row r="34">
      <c r="A34" s="24" t="inlineStr">
        <is>
          <t>Al Ain City Municipality</t>
        </is>
      </c>
      <c r="B34" s="24" t="inlineStr">
        <is>
          <t>Al Ain City Municipality</t>
        </is>
      </c>
      <c r="C34" s="24" t="inlineStr">
        <is>
          <t>Al Ain, Abu Dhabi Emirate</t>
        </is>
      </c>
      <c r="D34" s="24" t="inlineStr">
        <is>
          <t>Municipal planning/building control, permits, inspections and completion</t>
        </is>
      </c>
      <c r="E34" s="24" t="inlineStr">
        <is>
          <t>Permitting, inspections and completion throughout the project</t>
        </is>
      </c>
      <c r="F34" s="24" t="inlineStr">
        <is>
          <t>Correct municipal file, permits and local inspection requirements govern deviations; Abu Dhabi City documents are not interchangeable</t>
        </is>
      </c>
      <c r="G34" s="24" t="inlineStr">
        <is>
          <t>Approved permit, inspection records and as-builts</t>
        </is>
      </c>
      <c r="H34" s="24" t="inlineStr">
        <is>
          <t>Al Ain municipal completion/occupancy documentation</t>
        </is>
      </c>
      <c r="I34" s="24" t="inlineStr"/>
      <c r="J34" s="24" t="inlineStr"/>
      <c r="K34" s="24" t="inlineStr"/>
      <c r="L34" s="24" t="inlineStr"/>
      <c r="M34" s="24" t="inlineStr"/>
    </row>
    <row r="35">
      <c r="A35" s="23" t="inlineStr">
        <is>
          <t>Abu Dhabi Ports / KEZAD</t>
        </is>
      </c>
      <c r="B35" s="23" t="inlineStr">
        <is>
          <t>Abu Dhabi Ports / Khalifa Economic Zones Abu Dhabi</t>
        </is>
      </c>
      <c r="C35" s="23" t="inlineStr">
        <is>
          <t>Abu Dhabi ports and economic zones</t>
        </is>
      </c>
      <c r="D35" s="23" t="inlineStr">
        <is>
          <t>Plot, access, utility interface, logistics, HSE and tenant/operational controls</t>
        </is>
      </c>
      <c r="E35" s="23" t="inlineStr">
        <is>
          <t>Plot/design interface, construction access, tie-ins and operational handover</t>
        </is>
      </c>
      <c r="F35" s="23" t="inlineStr">
        <is>
          <t>Lease, plot, utility and interface NOCs create project-specific hold points</t>
        </is>
      </c>
      <c r="G35" s="23" t="inlineStr">
        <is>
          <t>Signed NOCs, approved methods, zone inspection and commissioning/tie-in acceptance</t>
        </is>
      </c>
      <c r="H35" s="23" t="inlineStr">
        <is>
          <t>KEZAD/port contractual handover or operational acceptance; **verify current requirement**</t>
        </is>
      </c>
      <c r="I35" s="23" t="inlineStr"/>
      <c r="J35" s="23" t="inlineStr"/>
      <c r="K35" s="23" t="inlineStr"/>
      <c r="L35" s="23" t="inlineStr"/>
      <c r="M35" s="23" t="inlineStr"/>
    </row>
    <row r="36">
      <c r="A36" s="24" t="inlineStr">
        <is>
          <t>Masdar / Masdar City</t>
        </is>
      </c>
      <c r="B36" s="24" t="inlineStr">
        <is>
          <t>Masdar / Masdar City master developer</t>
        </is>
      </c>
      <c r="C36" s="24" t="inlineStr">
        <is>
          <t>Abu Dhabi Emirate</t>
        </is>
      </c>
      <c r="D36" s="24" t="inlineStr">
        <is>
          <t>Estate design, sustainability, utilities interfaces and fit-out controls</t>
        </is>
      </c>
      <c r="E36" s="24" t="inlineStr">
        <is>
          <t>Master planning/design through tenant fit-out and handover</t>
        </is>
      </c>
      <c r="F36" s="24" t="inlineStr">
        <is>
          <t>Developer comments, Pearl commitments, estate interfaces and fit-out conditions require separate closure from statutory approvals</t>
        </is>
      </c>
      <c r="G36" s="24" t="inlineStr">
        <is>
          <t>Approved design/fit-out package, closed tracker, estate NOCs and commissioning evidence</t>
        </is>
      </c>
      <c r="H36" s="24" t="inlineStr">
        <is>
          <t>Masdar handover/tenant acceptance; statutory certificates remain separate</t>
        </is>
      </c>
      <c r="I36" s="24" t="inlineStr"/>
      <c r="J36" s="24" t="inlineStr"/>
      <c r="K36" s="24" t="inlineStr"/>
      <c r="L36" s="24" t="inlineStr"/>
      <c r="M36" s="24" t="inlineStr"/>
    </row>
    <row r="37">
      <c r="A37" s="23" t="inlineStr">
        <is>
          <t>Sharjah Municipality</t>
        </is>
      </c>
      <c r="B37" s="23" t="inlineStr">
        <is>
          <t>Sharjah City Municipality</t>
        </is>
      </c>
      <c r="C37" s="23" t="inlineStr">
        <is>
          <t>Sharjah</t>
        </is>
      </c>
      <c r="D37" s="23" t="inlineStr">
        <is>
          <t>Building/construction permits, approved plans, municipal inspections and completion certification</t>
        </is>
      </c>
      <c r="E37" s="23" t="inlineStr">
        <is>
          <t>Design/permit, construction inspections, as-built review and completion</t>
        </is>
      </c>
      <c r="F37" s="23" t="inlineStr">
        <is>
          <t>Permit conditions, approved plans, systems/products and site inspections govern deviations and NCRs</t>
        </is>
      </c>
      <c r="G37" s="23" t="inlineStr">
        <is>
          <t>Municipal inspection record, approved as-built/revised drawings, tests and photographs</t>
        </is>
      </c>
      <c r="H37" s="23" t="inlineStr">
        <is>
          <t>Official building completion certificate</t>
        </is>
      </c>
      <c r="I37" s="23" t="inlineStr"/>
      <c r="J37" s="23" t="inlineStr"/>
      <c r="K37" s="23" t="inlineStr"/>
      <c r="L37" s="23" t="inlineStr"/>
      <c r="M37" s="23" t="inlineStr"/>
    </row>
    <row r="38">
      <c r="A38" s="24" t="inlineStr">
        <is>
          <t>Sharjah Civil Defence Authority</t>
        </is>
      </c>
      <c r="B38" s="24" t="inlineStr">
        <is>
          <t>Sharjah Civil Defence Authority / General Directorate of Civil Defence jurisdiction</t>
        </is>
      </c>
      <c r="C38" s="24" t="inlineStr">
        <is>
          <t>Sharjah</t>
        </is>
      </c>
      <c r="D38" s="24" t="inlineStr">
        <is>
          <t>Fire/life safety, alarms, firefighting, smoke control, access and applicable central gas systems</t>
        </is>
      </c>
      <c r="E38" s="24" t="inlineStr">
        <is>
          <t>Fire strategy/design, installation hold points, testing, completion and occupancy</t>
        </is>
      </c>
      <c r="F38" s="24" t="inlineStr">
        <is>
          <t>Fire stopping, fire doors, cause-and-effect, hydrant flow, gas and access defects require corrective action and reinspection</t>
        </is>
      </c>
      <c r="G38" s="24" t="inlineStr">
        <is>
          <t>Approved drawings, compliance evidence, inspection and commissioning/maintenance records</t>
        </is>
      </c>
      <c r="H38" s="24" t="inlineStr">
        <is>
          <t>Civil Defence compliance and building/gas-system completion certificate, coordinated with municipality approval</t>
        </is>
      </c>
      <c r="I38" s="24" t="inlineStr"/>
      <c r="J38" s="24" t="inlineStr"/>
      <c r="K38" s="24" t="inlineStr"/>
      <c r="L38" s="24" t="inlineStr"/>
      <c r="M38" s="24" t="inlineStr"/>
    </row>
    <row r="39">
      <c r="A39" s="23" t="inlineStr">
        <is>
          <t>SEWA</t>
        </is>
      </c>
      <c r="B39" s="23" t="inlineStr">
        <is>
          <t>Sharjah Electricity, Water and Gas Authority</t>
        </is>
      </c>
      <c r="C39" s="23" t="inlineStr">
        <is>
          <t>Sharjah</t>
        </is>
      </c>
      <c r="D39" s="23" t="inlineStr">
        <is>
          <t>Electricity, water and gas network connection, capacity, metering and technical installations</t>
        </is>
      </c>
      <c r="E39" s="23" t="inlineStr">
        <is>
          <t>Design/connection applications, utility works, testing, inspection and energisation</t>
        </is>
      </c>
      <c r="F39" s="23" t="inlineStr">
        <is>
          <t>Routes, loads, earthing, pressure tests, meter rooms and materials are utility hold points</t>
        </is>
      </c>
      <c r="G39" s="23" t="inlineStr">
        <is>
          <t>SEWA NOC/connection approval, inspection and test results, meter/energisation record and applicable as-built/clearance</t>
        </is>
      </c>
      <c r="H39" s="23" t="inlineStr">
        <is>
          <t>Utility connection/final clearance; building completion remains municipal</t>
        </is>
      </c>
      <c r="I39" s="23" t="inlineStr"/>
      <c r="J39" s="23" t="inlineStr"/>
      <c r="K39" s="23" t="inlineStr"/>
      <c r="L39" s="23" t="inlineStr"/>
      <c r="M39" s="23" t="inlineStr"/>
    </row>
    <row r="40">
      <c r="A40" s="24" t="inlineStr">
        <is>
          <t>SRTA</t>
        </is>
      </c>
      <c r="B40" s="24" t="inlineStr">
        <is>
          <t>Sharjah Roads and Transport Authority</t>
        </is>
      </c>
      <c r="C40" s="24" t="inlineStr">
        <is>
          <t>Sharjah</t>
        </is>
      </c>
      <c r="D40" s="24" t="inlineStr">
        <is>
          <t>Road corridors/right-of-way, entrances, excavations, utility crossings, temporary occupation and reinstatement</t>
        </is>
      </c>
      <c r="E40" s="24" t="inlineStr">
        <is>
          <t>Design NOC before road work, work-zone control and reinstatement inspection</t>
        </is>
      </c>
      <c r="F40" s="24" t="inlineStr">
        <is>
          <t>NOC drawings, traffic/side-digging control, asset protection and reinstatement define NCR close-out</t>
        </is>
      </c>
      <c r="G40" s="24" t="inlineStr">
        <is>
          <t>SRTA NOC, engineer inspection/reinstatement acceptance and deposit-release evidence where applicable</t>
        </is>
      </c>
      <c r="H40" s="24" t="inlineStr">
        <is>
          <t>ROW NOC close-out/reinstatement acceptance</t>
        </is>
      </c>
      <c r="I40" s="24" t="inlineStr"/>
      <c r="J40" s="24" t="inlineStr"/>
      <c r="K40" s="24" t="inlineStr"/>
      <c r="L40" s="24" t="inlineStr"/>
      <c r="M40" s="24" t="inlineStr"/>
    </row>
    <row r="41">
      <c r="A41" s="23" t="inlineStr">
        <is>
          <t>Shurooq</t>
        </is>
      </c>
      <c r="B41" s="23" t="inlineStr">
        <is>
          <t>Sharjah Investment and Development Authority</t>
        </is>
      </c>
      <c r="C41" s="23" t="inlineStr">
        <is>
          <t>Sharjah</t>
        </is>
      </c>
      <c r="D41" s="23" t="inlineStr">
        <is>
          <t>Master-developer/client controls for tourism, heritage, public realm and investment assets</t>
        </is>
      </c>
      <c r="E41" s="23" t="inlineStr">
        <is>
          <t>Concept, design, construction, commissioning, operator acceptance and handover</t>
        </is>
      </c>
      <c r="F41" s="23" t="inlineStr">
        <is>
          <t>Project brief, conservation, sustainability, quality and public-interface conditions create PMC inspection points</t>
        </is>
      </c>
      <c r="G41" s="23" t="inlineStr">
        <is>
          <t>Developer acceptance, punch-list close-out and external municipal/Civil Defence/utility/environmental evidence</t>
        </is>
      </c>
      <c r="H41" s="23" t="inlineStr">
        <is>
          <t>Shurooq handover/operation approval together with statutory approvals</t>
        </is>
      </c>
      <c r="I41" s="23" t="inlineStr"/>
      <c r="J41" s="23" t="inlineStr"/>
      <c r="K41" s="23" t="inlineStr"/>
      <c r="L41" s="23" t="inlineStr"/>
      <c r="M41" s="23" t="inlineStr"/>
    </row>
    <row r="42">
      <c r="A42" s="24" t="inlineStr">
        <is>
          <t>HFZA</t>
        </is>
      </c>
      <c r="B42" s="24" t="inlineStr">
        <is>
          <t>Hamriyah Free Zone Authority</t>
        </is>
      </c>
      <c r="C42" s="24" t="inlineStr">
        <is>
          <t>Sharjah free zone</t>
        </is>
      </c>
      <c r="D42" s="24" t="inlineStr">
        <is>
          <t>Free-zone engineering, construction/development planning and EHS</t>
        </is>
      </c>
      <c r="E42" s="24" t="inlineStr">
        <is>
          <t>Building permit, construction, completion inspection, plant readiness and operation approval</t>
        </is>
      </c>
      <c r="F42" s="24" t="inlineStr">
        <is>
          <t>Building permit, service inspection/testing and EHS conditions are staged release gates</t>
        </is>
      </c>
      <c r="G42" s="24" t="inlineStr">
        <is>
          <t>HFZA inspection/test records, service NOCs and EHS documents</t>
        </is>
      </c>
      <c r="H42" s="24" t="inlineStr">
        <is>
          <t>**HFZA Building Completion Certificate**, then separate **Operation Permit**</t>
        </is>
      </c>
      <c r="I42" s="24" t="inlineStr"/>
      <c r="J42" s="24" t="inlineStr"/>
      <c r="K42" s="24" t="inlineStr"/>
      <c r="L42" s="24" t="inlineStr"/>
      <c r="M42" s="24" t="inlineStr"/>
    </row>
    <row r="43">
      <c r="A43" s="23" t="inlineStr">
        <is>
          <t>SAIF Zone</t>
        </is>
      </c>
      <c r="B43" s="23" t="inlineStr">
        <is>
          <t>Sharjah Airport International Free Zone Authority</t>
        </is>
      </c>
      <c r="C43" s="23" t="inlineStr">
        <is>
          <t>Sharjah free zone</t>
        </is>
      </c>
      <c r="D43" s="23" t="inlineStr">
        <is>
          <t>Lease/licensing, facility and EHS controls for offices, warehouses and industry</t>
        </is>
      </c>
      <c r="E43" s="23" t="inlineStr">
        <is>
          <t>Fit-out/factory construction, EHS inspection, operation and licence renewal</t>
        </is>
      </c>
      <c r="F43" s="23" t="inlineStr">
        <is>
          <t>EIA topics, waste, chemicals, proposals and EHS inspections create observation/NCR obligations</t>
        </is>
      </c>
      <c r="G43" s="23" t="inlineStr">
        <is>
          <t>SAIF NOC/lease &amp; licensing approval, EHS clearance, safety-fitness evidence and external certificates as applicable</t>
        </is>
      </c>
      <c r="H43" s="23" t="inlineStr">
        <is>
          <t>Licence/renewal and operational acceptance; external statutory completion may also be required</t>
        </is>
      </c>
      <c r="I43" s="23" t="inlineStr"/>
      <c r="J43" s="23" t="inlineStr"/>
      <c r="K43" s="23" t="inlineStr"/>
      <c r="L43" s="23" t="inlineStr"/>
      <c r="M43" s="23" t="inlineStr"/>
    </row>
    <row r="44">
      <c r="A44" s="24" t="inlineStr">
        <is>
          <t>BEEAH / environment</t>
        </is>
      </c>
      <c r="B44" s="24" t="inlineStr">
        <is>
          <t>BEEAH Environment</t>
        </is>
      </c>
      <c r="C44" s="24" t="inlineStr">
        <is>
          <t>Sharjah and service areas</t>
        </is>
      </c>
      <c r="D44" s="24" t="inlineStr">
        <is>
          <t>Environmental studies, waste management, waste permits/manifests, monitoring and remediation support</t>
        </is>
      </c>
      <c r="E44" s="24" t="inlineStr">
        <is>
          <t>Planning/EIA, construction waste, commissioning and operational controls</t>
        </is>
      </c>
      <c r="F44" s="24" t="inlineStr">
        <is>
          <t>Waste, dust/noise, discharge, contaminated soil and chemical issues require manifests and monitoring—not cleanliness photographs</t>
        </is>
      </c>
      <c r="G44" s="24" t="inlineStr">
        <is>
          <t>Environmental study/approval where required, BEEAH manifest/acceptance, monitoring/remediation report and authority record</t>
        </is>
      </c>
      <c r="H44" s="24" t="inlineStr">
        <is>
          <t>Environmental clearance from competent statutory authority where required; BEEAH is not a substitute regulator</t>
        </is>
      </c>
      <c r="I44" s="24" t="inlineStr"/>
      <c r="J44" s="24" t="inlineStr"/>
      <c r="K44" s="24" t="inlineStr"/>
      <c r="L44" s="24" t="inlineStr"/>
      <c r="M44" s="24" t="inlineStr"/>
    </row>
    <row r="45">
      <c r="A45" s="23" t="inlineStr">
        <is>
          <t>Ajman MPD</t>
        </is>
      </c>
      <c r="B45" s="23" t="inlineStr">
        <is>
          <t>Ajman Municipality &amp; Planning Department</t>
        </is>
      </c>
      <c r="C45" s="23" t="inlineStr">
        <is>
          <t>Ajman</t>
        </is>
      </c>
      <c r="D45" s="23" t="inlineStr">
        <is>
          <t>Land use, planning, building permits, municipal inspections and completion certification</t>
        </is>
      </c>
      <c r="E45" s="23" t="inlineStr">
        <is>
          <t>Design approval, construction inspection and handover</t>
        </is>
      </c>
      <c r="F45" s="23" t="inlineStr">
        <is>
          <t>Approved drawings, permit conditions, waterproofing and inspection reports are hold points</t>
        </is>
      </c>
      <c r="G45" s="23" t="inlineStr">
        <is>
          <t>Building inspection reports, water-insulation guarantee, Civil Defence letter, Roads &amp; Infrastructure clearance, sewerage-certified form and Makani number</t>
        </is>
      </c>
      <c r="H45" s="23" t="inlineStr">
        <is>
          <t>Official **Certificate of Completion** after MPD site inspection</t>
        </is>
      </c>
      <c r="I45" s="23" t="inlineStr"/>
      <c r="J45" s="23" t="inlineStr"/>
      <c r="K45" s="23" t="inlineStr"/>
      <c r="L45" s="23" t="inlineStr"/>
      <c r="M45" s="23" t="inlineStr"/>
    </row>
    <row r="46">
      <c r="A46" s="24" t="inlineStr">
        <is>
          <t>Ajman Civil Defence</t>
        </is>
      </c>
      <c r="B46" s="24" t="inlineStr">
        <is>
          <t>General Directorate of Civil Defence / Ajman Civil Defence</t>
        </is>
      </c>
      <c r="C46" s="24" t="inlineStr">
        <is>
          <t>Ajman</t>
        </is>
      </c>
      <c r="D46" s="24" t="inlineStr">
        <is>
          <t>Fire/life-safety design, systems and preventive-safety compliance</t>
        </is>
      </c>
      <c r="E46" s="24" t="inlineStr">
        <is>
          <t>Design review, installation/testing and pre-occupation/operation</t>
        </is>
      </c>
      <c r="F46" s="24" t="inlineStr">
        <is>
          <t>Fire stopping, rated doors, alarms, sprinklers, pumps, egress and emergency systems require approved drawings and witnessed tests</t>
        </is>
      </c>
      <c r="G46" s="24" t="inlineStr">
        <is>
          <t>Approved fire drawings, conformity evidence, test records and inspection/letter</t>
        </is>
      </c>
      <c r="H46" s="24" t="inlineStr">
        <is>
          <t>Applicable building/gas-system completion certificate and/or preventive-safety compliance certificate supporting MPD completion</t>
        </is>
      </c>
      <c r="I46" s="24" t="inlineStr"/>
      <c r="J46" s="24" t="inlineStr"/>
      <c r="K46" s="24" t="inlineStr"/>
      <c r="L46" s="24" t="inlineStr"/>
      <c r="M46" s="24" t="inlineStr"/>
    </row>
    <row r="47">
      <c r="A47" s="23" t="inlineStr">
        <is>
          <t>EtihadWE</t>
        </is>
      </c>
      <c r="B47" s="23" t="inlineStr">
        <is>
          <t>Etihad Water and Electricity, formerly FEWA</t>
        </is>
      </c>
      <c r="C47" s="23" t="inlineStr">
        <is>
          <t>Ajman, Umm Al Quwain, Ras Al Khaimah and Fujairah</t>
        </is>
      </c>
      <c r="D47" s="23" t="inlineStr">
        <is>
          <t>Electricity and desalinated-water distribution, connection and activation</t>
        </is>
      </c>
      <c r="E47" s="23" t="inlineStr">
        <is>
          <t>Design/interface, utility works, commissioning and occupation</t>
        </is>
      </c>
      <c r="F47" s="23" t="inlineStr">
        <is>
          <t>Loads, meters, trenches, chambers, pressure/flow/electrical tests and as-builts are utility hold points</t>
        </is>
      </c>
      <c r="G47" s="23" t="inlineStr">
        <is>
          <t>Authority inspection acceptance, approved drawings, tests, meter/connection release and as-builts</t>
        </is>
      </c>
      <c r="H47" s="23" t="inlineStr">
        <is>
          <t>Connection/activation/service-release approval; building completion is normally municipal</t>
        </is>
      </c>
      <c r="I47" s="23" t="inlineStr"/>
      <c r="J47" s="23" t="inlineStr"/>
      <c r="K47" s="23" t="inlineStr"/>
      <c r="L47" s="23" t="inlineStr"/>
      <c r="M47" s="23" t="inlineStr"/>
    </row>
    <row r="48">
      <c r="A48" s="24" t="inlineStr">
        <is>
          <t>Ajman Free Zone</t>
        </is>
      </c>
      <c r="B48" s="24" t="inlineStr">
        <is>
          <t>Ajman Free Zone / Free Zones Authority of Ajman</t>
        </is>
      </c>
      <c r="C48" s="24" t="inlineStr">
        <is>
          <t>Ajman free zone</t>
        </is>
      </c>
      <c r="D48" s="24" t="inlineStr">
        <is>
          <t>New-building NOCs and major fit-out permits, including structural, fire, MEP and layout change</t>
        </is>
      </c>
      <c r="E48" s="24" t="inlineStr">
        <is>
          <t>Before work starts and during technical review/inspection</t>
        </is>
      </c>
      <c r="F48" s="24" t="inlineStr">
        <is>
          <t>Work may not start before approval; scope, risk assessment, Civil Defence drawings and added load are change-control criteria</t>
        </is>
      </c>
      <c r="G48" s="24" t="inlineStr">
        <is>
          <t>Electronic New Building NOC or approved Major Fit-Out Permit, with written inspection/completion acceptance if issued</t>
        </is>
      </c>
      <c r="H48" s="24" t="inlineStr">
        <is>
          <t>Free-zone written acceptance; do not treat trade licence as construction completion certificate; **verify current requirement**</t>
        </is>
      </c>
      <c r="I48" s="24" t="inlineStr"/>
      <c r="J48" s="24" t="inlineStr"/>
      <c r="K48" s="24" t="inlineStr"/>
      <c r="L48" s="24" t="inlineStr"/>
      <c r="M48" s="24" t="inlineStr"/>
    </row>
    <row r="49">
      <c r="A49" s="23" t="inlineStr">
        <is>
          <t>Ajman Port</t>
        </is>
      </c>
      <c r="B49" s="23" t="inlineStr">
        <is>
          <t>Ajman Port</t>
        </is>
      </c>
      <c r="C49" s="23" t="inlineStr">
        <is>
          <t>Ajman port estate</t>
        </is>
      </c>
      <c r="D49" s="23" t="inlineStr">
        <is>
          <t>Port land, marine, logistics, security, traffic, access and utilities interfaces</t>
        </is>
      </c>
      <c r="E49" s="23" t="inlineStr">
        <is>
          <t>Before/during port-area works and at handback</t>
        </is>
      </c>
      <c r="F49" s="23" t="inlineStr">
        <is>
          <t>Port NOCs, work permits, inductions, traffic plans and reinstatement conditions are acceptance criteria</t>
        </is>
      </c>
      <c r="G49" s="23" t="inlineStr">
        <is>
          <t>Port work/access NOC, inspection sign-off, reinstatement and joint handback records</t>
        </is>
      </c>
      <c r="H49" s="23" t="inlineStr">
        <is>
          <t>Port handback/clearance letter where applicable; **verify current requirement**</t>
        </is>
      </c>
      <c r="I49" s="23" t="inlineStr"/>
      <c r="J49" s="23" t="inlineStr"/>
      <c r="K49" s="23" t="inlineStr"/>
      <c r="L49" s="23" t="inlineStr"/>
      <c r="M49" s="23" t="inlineStr"/>
    </row>
    <row r="50">
      <c r="A50" s="24" t="inlineStr">
        <is>
          <t>Umm Al Quwain Municipality</t>
        </is>
      </c>
      <c r="B50" s="24" t="inlineStr">
        <is>
          <t>Municipality of Umm Al Quwain</t>
        </is>
      </c>
      <c r="C50" s="24" t="inlineStr">
        <is>
          <t>Umm Al Quwain</t>
        </is>
      </c>
      <c r="D50" s="24" t="inlineStr">
        <is>
          <t>Municipal/urban-planning permits, contractor/consultant controls, inspection and completion</t>
        </is>
      </c>
      <c r="E50" s="24" t="inlineStr">
        <is>
          <t>Planning/design approval, construction inspection and completion</t>
        </is>
      </c>
      <c r="F50" s="24" t="inlineStr">
        <is>
          <t>Stamped permit, approved drawings and field comments govern deviations, setbacks and structural/MEP records</t>
        </is>
      </c>
      <c r="G50" s="24" t="inlineStr">
        <is>
          <t>Inspection reports, approved revisions and relevant utility/Civil Defence clearances</t>
        </is>
      </c>
      <c r="H50" s="24" t="inlineStr">
        <is>
          <t>Municipal building-completion certificate or permit close-out if issued; **verify current requirement**</t>
        </is>
      </c>
      <c r="I50" s="24" t="inlineStr"/>
      <c r="J50" s="24" t="inlineStr"/>
      <c r="K50" s="24" t="inlineStr"/>
      <c r="L50" s="24" t="inlineStr"/>
      <c r="M50" s="24" t="inlineStr"/>
    </row>
    <row r="51">
      <c r="A51" s="23" t="inlineStr">
        <is>
          <t>UAQ Civil Defence</t>
        </is>
      </c>
      <c r="B51" s="23" t="inlineStr">
        <is>
          <t>Umm Al Quwain Civil Defence</t>
        </is>
      </c>
      <c r="C51" s="23" t="inlineStr">
        <is>
          <t>Umm Al Quwain</t>
        </is>
      </c>
      <c r="D51" s="23" t="inlineStr">
        <is>
          <t>Fire/life safety blueprint approval, system testing and preventive-safety compliance</t>
        </is>
      </c>
      <c r="E51" s="23" t="inlineStr">
        <is>
          <t>Design, installation/testing and pre-occupation/operation</t>
        </is>
      </c>
      <c r="F51" s="23" t="inlineStr">
        <is>
          <t>Fire systems, occupancy, hazardous storage, access and cause-and-effect need traceable test evidence</t>
        </is>
      </c>
      <c r="G51" s="23" t="inlineStr">
        <is>
          <t>Approved drawings, test certificates and Civil Defence inspection/approval</t>
        </is>
      </c>
      <c r="H51" s="23" t="inlineStr">
        <is>
          <t>Applicable clearance, completion or preventive-safety certificate; **verify current requirement**</t>
        </is>
      </c>
      <c r="I51" s="23" t="inlineStr"/>
      <c r="J51" s="23" t="inlineStr"/>
      <c r="K51" s="23" t="inlineStr"/>
      <c r="L51" s="23" t="inlineStr"/>
      <c r="M51" s="23" t="inlineStr"/>
    </row>
    <row r="52">
      <c r="A52" s="24" t="inlineStr">
        <is>
          <t>UAQ FTZA</t>
        </is>
      </c>
      <c r="B52" s="24" t="inlineStr">
        <is>
          <t>Umm Al Quwain Free Trade Zone Authority</t>
        </is>
      </c>
      <c r="C52" s="24" t="inlineStr">
        <is>
          <t>Umm Al Quwain free zone</t>
        </is>
      </c>
      <c r="D52" s="24" t="inlineStr">
        <is>
          <t>Free-zone licensing, premises, tenant fit-out/construction controls and operational acceptance</t>
        </is>
      </c>
      <c r="E52" s="24" t="inlineStr">
        <is>
          <t>Lease/fit-out before works, access/inspection and handover/licensing</t>
        </is>
      </c>
      <c r="F52" s="24" t="inlineStr">
        <is>
          <t>Approved layout, work permit, contractor access and reinstatement obligations are acceptance criteria</t>
        </is>
      </c>
      <c r="G52" s="24" t="inlineStr">
        <is>
          <t>Current FTZA premises/fit-out/construction approval, written clearance and external approvals</t>
        </is>
      </c>
      <c r="H52" s="24" t="inlineStr">
        <is>
          <t>Handover/operational or licensing acceptance; published profile does not name a construction completion certificate—**verify current requirement**</t>
        </is>
      </c>
      <c r="I52" s="24" t="inlineStr"/>
      <c r="J52" s="24" t="inlineStr"/>
      <c r="K52" s="24" t="inlineStr"/>
      <c r="L52" s="24" t="inlineStr"/>
      <c r="M52" s="24" t="inlineStr"/>
    </row>
    <row r="53">
      <c r="A53" s="23" t="inlineStr">
        <is>
          <t>RAK Municipality</t>
        </is>
      </c>
      <c r="B53" s="23" t="inlineStr">
        <is>
          <t>Ras Al Khaimah Municipality Department – Buildings Administration</t>
        </is>
      </c>
      <c r="C53" s="23" t="inlineStr">
        <is>
          <t>Ras Al Khaimah</t>
        </is>
      </c>
      <c r="D53" s="23" t="inlineStr">
        <is>
          <t>Plan audits, building permits, inspections, implementation supervision, standards conformity and completion</t>
        </is>
      </c>
      <c r="E53" s="23" t="inlineStr">
        <is>
          <t>Pre-design/permit, construction inspection and final completion review</t>
        </is>
      </c>
      <c r="F53" s="23" t="inlineStr">
        <is>
          <t>Approved drawings, permits, specifications, workmanship and site safety drive NCR close-out</t>
        </is>
      </c>
      <c r="G53" s="23" t="inlineStr">
        <is>
          <t>Inspector report, approved preliminary handover, Barjeel report/documents and Civil Defence achievement certificate where required</t>
        </is>
      </c>
      <c r="H53" s="23" t="inlineStr">
        <is>
          <t>Electronic **Building Completion Certificate** after review</t>
        </is>
      </c>
      <c r="I53" s="23" t="inlineStr"/>
      <c r="J53" s="23" t="inlineStr"/>
      <c r="K53" s="23" t="inlineStr"/>
      <c r="L53" s="23" t="inlineStr"/>
      <c r="M53" s="23" t="inlineStr"/>
    </row>
    <row r="54">
      <c r="A54" s="24" t="inlineStr">
        <is>
          <t>RAK public-service / utility interfaces</t>
        </is>
      </c>
      <c r="B54" s="24" t="inlineStr">
        <is>
          <t>Relevant RAK public-service custodians, including RAKWA, Etisalat and General Resources Authority references in municipal completion process</t>
        </is>
      </c>
      <c r="C54" s="24" t="inlineStr">
        <is>
          <t>Ras Al Khaimah</t>
        </is>
      </c>
      <c r="D54" s="24" t="inlineStr">
        <is>
          <t>Service corridors, public infrastructure, utility connection and NOCs</t>
        </is>
      </c>
      <c r="E54" s="24" t="inlineStr">
        <is>
          <t>Enabling works, excavation, diversion/tie-in, testing and connection</t>
        </is>
      </c>
      <c r="F54" s="24" t="inlineStr">
        <is>
          <t>Protection, installation, testing, reinstatement and as-built observations remain open until asset-owner acceptance</t>
        </is>
      </c>
      <c r="G54" s="24" t="inlineStr">
        <is>
          <t>Utility inspection/connection approval, NOC/clearance, tests/commissioning and approved as-built</t>
        </is>
      </c>
      <c r="H54" s="24" t="inlineStr">
        <is>
          <t>Utility acceptance plus RAK Municipality completion; exact custodian/process—**verify current requirement**</t>
        </is>
      </c>
      <c r="I54" s="24" t="inlineStr"/>
      <c r="J54" s="24" t="inlineStr"/>
      <c r="K54" s="24" t="inlineStr"/>
      <c r="L54" s="24" t="inlineStr"/>
      <c r="M54" s="24" t="inlineStr"/>
    </row>
    <row r="55">
      <c r="A55" s="23" t="inlineStr">
        <is>
          <t>RAK Civil Defence</t>
        </is>
      </c>
      <c r="B55" s="23" t="inlineStr">
        <is>
          <t>Ras Al Khaimah Civil Defence / General Directorate of Civil Defence jurisdiction</t>
        </is>
      </c>
      <c r="C55" s="23" t="inlineStr">
        <is>
          <t>Ras Al Khaimah</t>
        </is>
      </c>
      <c r="D55" s="23" t="inlineStr">
        <is>
          <t>Preventive fire safety, fire engineering, systems approval and inspection</t>
        </is>
      </c>
      <c r="E55" s="23" t="inlineStr">
        <is>
          <t>Fire design, installation/commissioning and final fire acceptance</t>
        </is>
      </c>
      <c r="F55" s="23" t="inlineStr">
        <is>
          <t>Fire stopping, alarm, sprinkler, smoke control, pumps, exits and emergency lighting need specialist test/reinspection</t>
        </is>
      </c>
      <c r="G55" s="23" t="inlineStr">
        <is>
          <t>Approved fire drawings, engineering/achievement evidence, tests and inspection records</t>
        </is>
      </c>
      <c r="H55" s="23" t="inlineStr">
        <is>
          <t>Civil Defence completion/achievement and applicable preventive-safety compliance certificate</t>
        </is>
      </c>
      <c r="I55" s="23" t="inlineStr"/>
      <c r="J55" s="23" t="inlineStr"/>
      <c r="K55" s="23" t="inlineStr"/>
      <c r="L55" s="23" t="inlineStr"/>
      <c r="M55" s="23" t="inlineStr"/>
    </row>
    <row r="56">
      <c r="A56" s="24" t="inlineStr">
        <is>
          <t>Marjan</t>
        </is>
      </c>
      <c r="B56" s="24" t="inlineStr">
        <is>
          <t>Marjan / Al Marjan Island master developer</t>
        </is>
      </c>
      <c r="C56" s="24" t="inlineStr">
        <is>
          <t>Ras Al Khaimah developments</t>
        </is>
      </c>
      <c r="D56" s="24" t="inlineStr">
        <is>
          <t>Master-developer design, plot/interface, infrastructure, access, coastal and logistics controls</t>
        </is>
      </c>
      <c r="E56" s="24" t="inlineStr">
        <is>
          <t>Before design approval through construction/interface and developer handover</t>
        </is>
      </c>
      <c r="F56" s="24" t="inlineStr">
        <is>
          <t>Developer NOCs/comments are separate from Municipality approval</t>
        </is>
      </c>
      <c r="G56" s="24" t="inlineStr">
        <is>
          <t>Written design/development NOC, approved IFC/interface drawings and inspection sign-offs</t>
        </is>
      </c>
      <c r="H56" s="24" t="inlineStr">
        <is>
          <t>Developer clearance/handover where issued, alongside Municipality/Civil Defence certificates; **verify current requirement**</t>
        </is>
      </c>
      <c r="I56" s="24" t="inlineStr"/>
      <c r="J56" s="24" t="inlineStr"/>
      <c r="K56" s="24" t="inlineStr"/>
      <c r="L56" s="24" t="inlineStr"/>
      <c r="M56" s="24" t="inlineStr"/>
    </row>
    <row r="57">
      <c r="A57" s="23" t="inlineStr">
        <is>
          <t>RAKEZ</t>
        </is>
      </c>
      <c r="B57" s="23" t="inlineStr">
        <is>
          <t>Ras Al Khaimah Economic Zone</t>
        </is>
      </c>
      <c r="C57" s="23" t="inlineStr">
        <is>
          <t>Ras Al Khaimah economic zone</t>
        </is>
      </c>
      <c r="D57" s="23" t="inlineStr">
        <is>
          <t>Plot development, drawing review, building/modification permits, HS&amp;E and staged construction approvals</t>
        </is>
      </c>
      <c r="E57" s="23" t="inlineStr">
        <is>
          <t>Before mobilisation; Stage 1 before work, Stage 2 at 6 m and Stage 3 at 24 m/before 30 m; completion/operation</t>
        </is>
      </c>
      <c r="F57" s="23" t="inlineStr">
        <is>
          <t>Stage approvals, night work, excavations, hazardous works and HS&amp;E obligations are release gates</t>
        </is>
      </c>
      <c r="G57" s="23" t="inlineStr">
        <is>
          <t>Written stage approvals, NOCs, HS&amp;E inspection/operational-fitness evidence, incident and equipment/test records</t>
        </is>
      </c>
      <c r="H57" s="23" t="inlineStr">
        <is>
          <t>RAKEZ building/modification completion NOC and operational fitness/acceptance as applicable</t>
        </is>
      </c>
      <c r="I57" s="23" t="inlineStr"/>
      <c r="J57" s="23" t="inlineStr"/>
      <c r="K57" s="23" t="inlineStr"/>
      <c r="L57" s="23" t="inlineStr"/>
      <c r="M57" s="23" t="inlineStr"/>
    </row>
    <row r="58">
      <c r="A58" s="24" t="inlineStr">
        <is>
          <t>Fujairah Municipality</t>
        </is>
      </c>
      <c r="B58" s="24" t="inlineStr">
        <is>
          <t>Fujairah Municipality – Engineering and Lands Department, Building Section</t>
        </is>
      </c>
      <c r="C58" s="24" t="inlineStr">
        <is>
          <t>Fujairah</t>
        </is>
      </c>
      <c r="D58" s="24" t="inlineStr">
        <is>
          <t>New permits, drawing submissions, concrete-pour and building-completion services</t>
        </is>
      </c>
      <c r="E58" s="24" t="inlineStr">
        <is>
          <t>Design/permit, construction inspection and final completion</t>
        </is>
      </c>
      <c r="F58" s="24" t="inlineStr">
        <is>
          <t>Structural, waterproofing, MEP and concrete defects need permit-aligned test and reinspection evidence</t>
        </is>
      </c>
      <c r="G58" s="24" t="inlineStr">
        <is>
          <t>Approved permit/amendments, inspection records, tests and temporary-utility evidence if applicable</t>
        </is>
      </c>
      <c r="H58" s="24" t="inlineStr">
        <is>
          <t>**Building Completion Certificate**</t>
        </is>
      </c>
      <c r="I58" s="24" t="inlineStr"/>
      <c r="J58" s="24" t="inlineStr"/>
      <c r="K58" s="24" t="inlineStr"/>
      <c r="L58" s="24" t="inlineStr"/>
      <c r="M58" s="24" t="inlineStr"/>
    </row>
    <row r="59">
      <c r="A59" s="23" t="inlineStr">
        <is>
          <t>Fujairah Civil Defence</t>
        </is>
      </c>
      <c r="B59" s="23" t="inlineStr">
        <is>
          <t>Fujairah Civil Defence / General Directorate of Civil Defence jurisdiction</t>
        </is>
      </c>
      <c r="C59" s="23" t="inlineStr">
        <is>
          <t>Fujairah</t>
        </is>
      </c>
      <c r="D59" s="23" t="inlineStr">
        <is>
          <t>Fire-preventive safety and fire-system engineering/inspection</t>
        </is>
      </c>
      <c r="E59" s="23" t="inlineStr">
        <is>
          <t>Fire design, installation, commissioning, monitoring and final acceptance</t>
        </is>
      </c>
      <c r="F59" s="23" t="inlineStr">
        <is>
          <t>Fire systems, compartmentation, cause-and-effect, access and evacuation findings require witnessed tests and reinspection</t>
        </is>
      </c>
      <c r="G59" s="23" t="inlineStr">
        <is>
          <t>Approved fire documents, installer/maintenance evidence, tests and inspection records</t>
        </is>
      </c>
      <c r="H59" s="23" t="inlineStr">
        <is>
          <t>Civil Defence building/gas-system completion and preventive-safety compliance certificate</t>
        </is>
      </c>
      <c r="I59" s="23" t="inlineStr"/>
      <c r="J59" s="23" t="inlineStr"/>
      <c r="K59" s="23" t="inlineStr"/>
      <c r="L59" s="23" t="inlineStr"/>
      <c r="M59" s="23" t="inlineStr"/>
    </row>
    <row r="60">
      <c r="A60" s="24" t="inlineStr">
        <is>
          <t>FFZA</t>
        </is>
      </c>
      <c r="B60" s="24" t="inlineStr">
        <is>
          <t>Fujairah Free Zone Authority</t>
        </is>
      </c>
      <c r="C60" s="24" t="inlineStr">
        <is>
          <t>Fujairah free zone</t>
        </is>
      </c>
      <c r="D60" s="24" t="inlineStr">
        <is>
          <t>Licensing, premises, fit-out and operational controls; special permits with government departments</t>
        </is>
      </c>
      <c r="E60" s="24" t="inlineStr">
        <is>
          <t>Business setup, premises/fit-out, access, utilities, hazardous activity and operational licensing</t>
        </is>
      </c>
      <c r="F60" s="24" t="inlineStr">
        <is>
          <t>Fit-out, access, utilities and operational observations can block licensing/occupation even after physical completion</t>
        </is>
      </c>
      <c r="G60" s="24" t="inlineStr">
        <is>
          <t>FFZA premises/fit-out/operational approval, lease/licence records and relevant government NOCs</t>
        </is>
      </c>
      <c r="H60" s="24" t="inlineStr">
        <is>
          <t>Operational/licensing acceptance; exact construction instrument—**verify current requirement**</t>
        </is>
      </c>
      <c r="I60" s="24" t="inlineStr"/>
      <c r="J60" s="24" t="inlineStr"/>
      <c r="K60" s="24" t="inlineStr"/>
      <c r="L60" s="24" t="inlineStr"/>
      <c r="M60" s="24" t="inlineStr"/>
    </row>
    <row r="61">
      <c r="A61" s="23" t="inlineStr">
        <is>
          <t>Fujairah Ports Authority / Port of Fujairah</t>
        </is>
      </c>
      <c r="B61" s="23" t="inlineStr">
        <is>
          <t>Fujairah Ports Authority / Port of Fujairah</t>
        </is>
      </c>
      <c r="C61" s="23" t="inlineStr">
        <is>
          <t>Fujairah port areas</t>
        </is>
      </c>
      <c r="D61" s="23" t="inlineStr">
        <is>
          <t>Port land, marine/terminal infrastructure, operational safety, access and interfaces</t>
        </is>
      </c>
      <c r="E61" s="23" t="inlineStr">
        <is>
          <t>Before port-area works, during marine/terminal construction and commissioning/operational handover</t>
        </is>
      </c>
      <c r="F61" s="23" t="inlineStr">
        <is>
          <t>Port permit, lifting, hot-work, traffic, berth, pipeline, environmental and safety conditions are NCR criteria</t>
        </is>
      </c>
      <c r="G61" s="23" t="inlineStr">
        <is>
          <t>Work/access/operational approvals, inspection, commissioning, as-builts, tests and required external clearances</t>
        </is>
      </c>
      <c r="H61" s="23" t="inlineStr">
        <is>
          <t>Port commissioning/operational handover acceptance</t>
        </is>
      </c>
      <c r="I61" s="23" t="inlineStr"/>
      <c r="J61" s="23" t="inlineStr"/>
      <c r="K61" s="23" t="inlineStr"/>
      <c r="L61" s="23" t="inlineStr"/>
      <c r="M61" s="23" t="inlineStr"/>
    </row>
    <row r="62">
      <c r="A62" s="24" t="inlineStr">
        <is>
          <t>DEWA</t>
        </is>
      </c>
      <c r="B62" s="24" t="inlineStr">
        <is>
          <t>Dubai Electricity and Water Authority</t>
        </is>
      </c>
      <c r="C62" s="24" t="inlineStr">
        <is>
          <t>Dubai</t>
        </is>
      </c>
      <c r="D62" s="24" t="inlineStr">
        <is>
          <t>Electricity/water networks, design/NOC, construction, substations, LV/HV inspection and connections</t>
        </is>
      </c>
      <c r="E62" s="24" t="inlineStr">
        <is>
          <t>Design/NOC, construction, substation/LV/HV inspection and connection</t>
        </is>
      </c>
      <c r="F62" s="24" t="inlineStr">
        <is>
          <t>Material approvals, hold-point inspections and snag notices require rectification and resubmission</t>
        </is>
      </c>
      <c r="G62" s="24" t="inlineStr">
        <is>
          <t>Inspection notice/result, approved drawings, site photos, test certificates and portal approval</t>
        </is>
      </c>
      <c r="H62" s="24" t="inlineStr">
        <is>
          <t>DEWA connection/supply release, **Completion Certificate**, **As Built Approval** and GIS update as applicable</t>
        </is>
      </c>
      <c r="I62" s="24" t="inlineStr"/>
      <c r="J62" s="24" t="inlineStr"/>
      <c r="K62" s="24" t="inlineStr"/>
      <c r="L62" s="24" t="inlineStr"/>
      <c r="M62" s="24" t="inlineStr"/>
    </row>
    <row r="63">
      <c r="A63" s="23" t="inlineStr">
        <is>
          <t>ADDC</t>
        </is>
      </c>
      <c r="B63" s="23" t="inlineStr">
        <is>
          <t>Abu Dhabi Distribution Company / TAQA Distribution</t>
        </is>
      </c>
      <c r="C63" s="23" t="inlineStr">
        <is>
          <t>Abu Dhabi City</t>
        </is>
      </c>
      <c r="D63" s="23" t="inlineStr">
        <is>
          <t>Electricity and water distribution</t>
        </is>
      </c>
      <c r="E63" s="23" t="inlineStr">
        <is>
          <t>Design NOC, infrastructure installation, inspection, energisation and handover</t>
        </is>
      </c>
      <c r="F63" s="23" t="inlineStr">
        <is>
          <t>Materials, pressure/electrical tests, meter/substation readiness and snags require distributor acceptance</t>
        </is>
      </c>
      <c r="G63" s="23" t="inlineStr">
        <is>
          <t>Approved materials, inspection requests, tests, signed snag closure and as-builts</t>
        </is>
      </c>
      <c r="H63" s="23" t="inlineStr">
        <is>
          <t>Connection/energisation approval, clearance/NOC and accepted as-builts</t>
        </is>
      </c>
      <c r="I63" s="23" t="inlineStr"/>
      <c r="J63" s="23" t="inlineStr"/>
      <c r="K63" s="23" t="inlineStr"/>
      <c r="L63" s="23" t="inlineStr"/>
      <c r="M63" s="23" t="inlineStr"/>
    </row>
    <row r="64">
      <c r="A64" s="24" t="inlineStr">
        <is>
          <t>AADC</t>
        </is>
      </c>
      <c r="B64" s="24" t="inlineStr">
        <is>
          <t>Al Ain Distribution Company / TAQA Distribution</t>
        </is>
      </c>
      <c r="C64" s="24" t="inlineStr">
        <is>
          <t>Al Ain</t>
        </is>
      </c>
      <c r="D64" s="24" t="inlineStr">
        <is>
          <t>Electricity and water distribution</t>
        </is>
      </c>
      <c r="E64" s="24" t="inlineStr">
        <is>
          <t>Design, construction, inspection, energisation and handover</t>
        </is>
      </c>
      <c r="F64" s="24" t="inlineStr">
        <is>
          <t>Materials, readiness, tests and signed snag closure are utility hold points</t>
        </is>
      </c>
      <c r="G64" s="24" t="inlineStr">
        <is>
          <t>Approved materials, inspection requests, test results, connection readiness and as-builts</t>
        </is>
      </c>
      <c r="H64" s="24" t="inlineStr">
        <is>
          <t>Connection/energisation approval, clearance/NOC and accepted as-builts</t>
        </is>
      </c>
      <c r="I64" s="24" t="inlineStr"/>
      <c r="J64" s="24" t="inlineStr"/>
      <c r="K64" s="24" t="inlineStr"/>
      <c r="L64" s="24" t="inlineStr"/>
      <c r="M64" s="24" t="inlineStr"/>
    </row>
    <row r="65">
      <c r="A65" s="23" t="inlineStr">
        <is>
          <t>TRANSCO</t>
        </is>
      </c>
      <c r="B65" s="23" t="inlineStr">
        <is>
          <t>Abu Dhabi National Energy Company transmission operator</t>
        </is>
      </c>
      <c r="C65" s="23" t="inlineStr">
        <is>
          <t>Abu Dhabi Emirate</t>
        </is>
      </c>
      <c r="D65" s="23" t="inlineStr">
        <is>
          <t>High-voltage electricity and water transmission assets</t>
        </is>
      </c>
      <c r="E65" s="23" t="inlineStr">
        <is>
          <t>Proximity, crossing, diversion and protection design/construction</t>
        </is>
      </c>
      <c r="F65" s="23" t="inlineStr">
        <is>
          <t>Protection and monitoring conditions are permit hold points</t>
        </is>
      </c>
      <c r="G65" s="23" t="inlineStr">
        <is>
          <t>Approved method statement, protection/monitoring records, inspection/test, survey/as-built and written release</t>
        </is>
      </c>
      <c r="H65" s="23" t="inlineStr">
        <is>
          <t>Transmission crossing/diversion/protection NOC and handover/acceptance record</t>
        </is>
      </c>
      <c r="I65" s="23" t="inlineStr"/>
      <c r="J65" s="23" t="inlineStr"/>
      <c r="K65" s="23" t="inlineStr"/>
      <c r="L65" s="23" t="inlineStr"/>
      <c r="M65" s="23" t="inlineStr"/>
    </row>
    <row r="66">
      <c r="A66" s="24" t="inlineStr">
        <is>
          <t>TAQA</t>
        </is>
      </c>
      <c r="B66" s="24" t="inlineStr">
        <is>
          <t>Abu Dhabi National Energy Company group</t>
        </is>
      </c>
      <c r="C66" s="24" t="inlineStr">
        <is>
          <t>Abu Dhabi Emirate</t>
        </is>
      </c>
      <c r="D66" s="24" t="inlineStr">
        <is>
          <t>Ownership/governance umbrella for operating technical entities</t>
        </is>
      </c>
      <c r="E66" s="24" t="inlineStr">
        <is>
          <t>Project-specific; actual asset custodian determines involvement</t>
        </is>
      </c>
      <c r="F66" s="24" t="inlineStr">
        <is>
          <t>A generic TAQA reference does not close an NCR: identify ADDC, AADC, TRANSCO or other asset custodian</t>
        </is>
      </c>
      <c r="G66" s="24" t="inlineStr">
        <is>
          <t>Entity-specific NOC, inspection and acceptance evidence</t>
        </is>
      </c>
      <c r="H66" s="24" t="inlineStr">
        <is>
          <t>Entity-specific connection, clearance, energisation or asset-handover acceptance</t>
        </is>
      </c>
      <c r="I66" s="24" t="inlineStr"/>
      <c r="J66" s="24" t="inlineStr"/>
      <c r="K66" s="24" t="inlineStr"/>
      <c r="L66" s="24" t="inlineStr"/>
      <c r="M66" s="24" t="inlineStr"/>
    </row>
    <row r="67">
      <c r="A67" s="23" t="inlineStr">
        <is>
          <t>Empower</t>
        </is>
      </c>
      <c r="B67" s="23" t="inlineStr">
        <is>
          <t>Emirates Central Cooling Systems Corporation</t>
        </is>
      </c>
      <c r="C67" s="23" t="inlineStr">
        <is>
          <t>UAE district-cooling service areas</t>
        </is>
      </c>
      <c r="D67" s="23" t="inlineStr">
        <is>
          <t>District-cooling networks, energy-transfer stations and customer interfaces</t>
        </is>
      </c>
      <c r="E67" s="23" t="inlineStr">
        <is>
          <t>Master planning/design, ETS installation, pressure/flushing, testing and commissioning</t>
        </is>
      </c>
      <c r="F67" s="23" t="inlineStr">
        <is>
          <t>Equipment, insulation, hydraulic, controls and interface defects require operator-witnessed evidence</t>
        </is>
      </c>
      <c r="G67" s="23" t="inlineStr">
        <is>
          <t>Approved submittals, pressure/flushing reports, inspection, commissioning and BMS records</t>
        </is>
      </c>
      <c r="H67" s="23" t="inlineStr">
        <is>
          <t>Operator connection and commissioning/operation acceptance; **verify current requirement**</t>
        </is>
      </c>
      <c r="I67" s="23" t="inlineStr"/>
      <c r="J67" s="23" t="inlineStr"/>
      <c r="K67" s="23" t="inlineStr"/>
      <c r="L67" s="23" t="inlineStr"/>
      <c r="M67" s="23" t="inlineStr"/>
    </row>
    <row r="68">
      <c r="A68" s="24" t="inlineStr">
        <is>
          <t>Tabreed</t>
        </is>
      </c>
      <c r="B68" s="24" t="inlineStr">
        <is>
          <t>National Central Cooling Company</t>
        </is>
      </c>
      <c r="C68" s="24" t="inlineStr">
        <is>
          <t>UAE district-cooling service areas</t>
        </is>
      </c>
      <c r="D68" s="24" t="inlineStr">
        <is>
          <t>District-cooling plants, networks and customer connections</t>
        </is>
      </c>
      <c r="E68" s="24" t="inlineStr">
        <is>
          <t>Design, connection, construction, testing and commissioning</t>
        </is>
      </c>
      <c r="F68" s="24" t="inlineStr">
        <is>
          <t>Equipment, hydraulic, insulation and interface NCRs close only through witnessed tests and commissioning</t>
        </is>
      </c>
      <c r="G68" s="24" t="inlineStr">
        <is>
          <t>Connection/NOC, test and commissioning records, operator inspection</t>
        </is>
      </c>
      <c r="H68" s="24" t="inlineStr">
        <is>
          <t>Operator connection/operation acceptance or handover certificate; **verify current requirement**</t>
        </is>
      </c>
      <c r="I68" s="24" t="inlineStr"/>
      <c r="J68" s="24" t="inlineStr"/>
      <c r="K68" s="24" t="inlineStr"/>
      <c r="L68" s="24" t="inlineStr"/>
      <c r="M68" s="24" t="inlineStr"/>
    </row>
    <row r="69">
      <c r="A69" s="23" t="inlineStr">
        <is>
          <t>Emicool</t>
        </is>
      </c>
      <c r="B69" s="23" t="inlineStr">
        <is>
          <t>Emirates District Cooling</t>
        </is>
      </c>
      <c r="C69" s="23" t="inlineStr">
        <is>
          <t>UAE district-cooling service areas</t>
        </is>
      </c>
      <c r="D69" s="23" t="inlineStr">
        <is>
          <t>District-cooling networks and customer connections</t>
        </is>
      </c>
      <c r="E69" s="23" t="inlineStr">
        <is>
          <t>Design, ETS installation, pressure/flushing tests and commissioning</t>
        </is>
      </c>
      <c r="F69" s="23" t="inlineStr">
        <is>
          <t>Material, installation, controls, meter and commissioning observations require operator acceptance</t>
        </is>
      </c>
      <c r="G69" s="23" t="inlineStr">
        <is>
          <t>Approved materials, test/commissioning reports and operator inspection</t>
        </is>
      </c>
      <c r="H69" s="23" t="inlineStr">
        <is>
          <t>Operator connection/acceptance; **verify current requirement**</t>
        </is>
      </c>
      <c r="I69" s="23" t="inlineStr"/>
      <c r="J69" s="23" t="inlineStr"/>
      <c r="K69" s="23" t="inlineStr"/>
      <c r="L69" s="23" t="inlineStr"/>
      <c r="M69" s="23" t="inlineStr"/>
    </row>
    <row r="70">
      <c r="A70" s="24" t="inlineStr">
        <is>
          <t>e&amp;</t>
        </is>
      </c>
      <c r="B70" s="24" t="inlineStr">
        <is>
          <t>e&amp; (Etisalat)</t>
        </is>
      </c>
      <c r="C70" s="24" t="inlineStr">
        <is>
          <t>UAE telecom service areas</t>
        </is>
      </c>
      <c r="D70" s="24" t="inlineStr">
        <is>
          <t>Telecom outside-plant and in-building fibre infrastructure</t>
        </is>
      </c>
      <c r="E70" s="24" t="inlineStr">
        <is>
          <t>Early design NOC, material validation, implementation inspection and final testing</t>
        </is>
      </c>
      <c r="F70" s="24" t="inlineStr">
        <is>
          <t>Duct routes, components, labels, room conditions and end-to-end tests are closure criteria</t>
        </is>
      </c>
      <c r="G70" s="24" t="inlineStr">
        <is>
          <t>Lead-operator inspection, approved materials, test results and as-built/ODF record</t>
        </is>
      </c>
      <c r="H70" s="24" t="inlineStr">
        <is>
          <t>Telecom NOC and operator completion/acceptance certificate</t>
        </is>
      </c>
      <c r="I70" s="24" t="inlineStr"/>
      <c r="J70" s="24" t="inlineStr"/>
      <c r="K70" s="24" t="inlineStr"/>
      <c r="L70" s="24" t="inlineStr"/>
      <c r="M70" s="24" t="inlineStr"/>
    </row>
    <row r="71">
      <c r="A71" s="23" t="inlineStr">
        <is>
          <t>du</t>
        </is>
      </c>
      <c r="B71" s="23" t="inlineStr">
        <is>
          <t>du / Emirates Integrated Telecommunications Company</t>
        </is>
      </c>
      <c r="C71" s="23" t="inlineStr">
        <is>
          <t>UAE telecom service areas</t>
        </is>
      </c>
      <c r="D71" s="23" t="inlineStr">
        <is>
          <t>Telecom outside-plant and in-building fibre infrastructure</t>
        </is>
      </c>
      <c r="E71" s="23" t="inlineStr">
        <is>
          <t>Design NOC, approved materials, implementation and acceptance testing</t>
        </is>
      </c>
      <c r="F71" s="23" t="inlineStr">
        <is>
          <t>Wrong route/component, labels, room condition or failed fibre test keeps the item open</t>
        </is>
      </c>
      <c r="G71" s="23" t="inlineStr">
        <is>
          <t>Approved drawings/materials, inspection, end-to-end tests and as-builts</t>
        </is>
      </c>
      <c r="H71" s="23" t="inlineStr">
        <is>
          <t>Operator completion/acceptance certificate</t>
        </is>
      </c>
      <c r="I71" s="23" t="inlineStr"/>
      <c r="J71" s="23" t="inlineStr"/>
      <c r="K71" s="23" t="inlineStr"/>
      <c r="L71" s="23" t="inlineStr"/>
      <c r="M71" s="23" t="inlineStr"/>
    </row>
    <row r="72">
      <c r="A72" s="24" t="inlineStr">
        <is>
          <t>Etihad Rail</t>
        </is>
      </c>
      <c r="B72" s="24" t="inlineStr">
        <is>
          <t>Etihad Rail</t>
        </is>
      </c>
      <c r="C72" s="24" t="inlineStr">
        <is>
          <t>National railway corridors</t>
        </is>
      </c>
      <c r="D72" s="24" t="inlineStr">
        <is>
          <t>Railway right-of-way/protection zones for buildings, bridges, utilities, excavation and machinery</t>
        </is>
      </c>
      <c r="E72" s="24" t="inlineStr">
        <is>
          <t>Information/design/construction NOCs and activity-specific releases</t>
        </is>
      </c>
      <c r="F72" s="24" t="inlineStr">
        <is>
          <t>Layouts, methods, risk assessments, monitoring and protected-zone conditions are rail hold points</t>
        </is>
      </c>
      <c r="G72" s="24" t="inlineStr">
        <is>
          <t>Monitoring data, third-party studies where required, inspection records, as-built survey and written rail release</t>
        </is>
      </c>
      <c r="H72" s="24" t="inlineStr">
        <is>
          <t>Activity-specific NOC close-out and rail-interface acceptance/handover</t>
        </is>
      </c>
      <c r="I72" s="24" t="inlineStr"/>
      <c r="J72" s="24" t="inlineStr"/>
      <c r="K72" s="24" t="inlineStr"/>
      <c r="L72" s="24" t="inlineStr"/>
      <c r="M72" s="24" t="inlineStr"/>
    </row>
    <row r="73">
      <c r="A73" s="23" t="inlineStr">
        <is>
          <t>ITC / Abu Dhabi Mobility</t>
        </is>
      </c>
      <c r="B73" s="23" t="inlineStr">
        <is>
          <t>Integrated Transport Centre, now Abu Dhabi Mobility</t>
        </is>
      </c>
      <c r="C73" s="23" t="inlineStr">
        <is>
          <t>Abu Dhabi Emirate</t>
        </is>
      </c>
      <c r="D73" s="23" t="inlineStr">
        <is>
          <t>Traffic operations, detours and works in the road right-of-way</t>
        </is>
      </c>
      <c r="E73" s="23" t="inlineStr">
        <is>
          <t>Road-work planning, detour application, execution and reinstatement</t>
        </is>
      </c>
      <c r="F73" s="23" t="inlineStr">
        <is>
          <t>Barriers, signage, lane geometry, access, timing and safety observations require permit closure</t>
        </is>
      </c>
      <c r="G73" s="23" t="inlineStr">
        <is>
          <t>Traffic-control inspection, approved detour completion and safety records</t>
        </is>
      </c>
      <c r="H73" s="23" t="inlineStr">
        <is>
          <t>Traffic-detour/road-works permit closure and traffic-management acceptance</t>
        </is>
      </c>
      <c r="I73" s="23" t="inlineStr"/>
      <c r="J73" s="23" t="inlineStr"/>
      <c r="K73" s="23" t="inlineStr"/>
      <c r="L73" s="23" t="inlineStr"/>
      <c r="M73" s="23" t="inlineStr"/>
    </row>
    <row r="74">
      <c r="A74" s="24" t="inlineStr">
        <is>
          <t>Municipal road/drainage departments</t>
        </is>
      </c>
      <c r="B74" s="24" t="inlineStr">
        <is>
          <t>DMT/Abu Dhabi, Abu Dhabi City Municipality, Al Ain Municipality, Western Region municipality functions and Dubai Municipality, as applicable</t>
        </is>
      </c>
      <c r="C74" s="24" t="inlineStr">
        <is>
          <t>Abu Dhabi and Dubai municipal territories</t>
        </is>
      </c>
      <c r="D74" s="24" t="inlineStr">
        <is>
          <t>Roads, stormwater/drainage, public realm, trench coordination and asset handover</t>
        </is>
      </c>
      <c r="E74" s="24" t="inlineStr">
        <is>
          <t>Planning/design NOC, construction, road/drainage inspection and final handover</t>
        </is>
      </c>
      <c r="F74" s="24" t="inlineStr">
        <is>
          <t>Trench, drainage tests, road base/asphalt and reinstatement are municipal hold points</t>
        </is>
      </c>
      <c r="G74" s="24" t="inlineStr">
        <is>
          <t>Municipal inspection pass, CCTV/pressure/compaction test as applicable, survey/as-built and handed-over asset record</t>
        </is>
      </c>
      <c r="H74" s="24" t="inlineStr">
        <is>
          <t>Municipal road/drainage handover, clearance NOC or phased permit close-out</t>
        </is>
      </c>
      <c r="I74" s="24" t="inlineStr"/>
      <c r="J74" s="24" t="inlineStr"/>
      <c r="K74" s="24" t="inlineStr"/>
      <c r="L74" s="24" t="inlineStr"/>
      <c r="M74" s="24" t="inlineStr"/>
    </row>
  </sheetData>
  <autoFilter ref="A4:M74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34" customWidth="1" min="3" max="3"/>
    <col width="16" customWidth="1" min="4" max="4"/>
    <col width="18" customWidth="1" min="5" max="5"/>
    <col width="13" customWidth="1" min="6" max="6"/>
    <col width="12" customWidth="1" min="7" max="7"/>
    <col width="12" customWidth="1" min="8" max="8"/>
    <col width="22" customWidth="1" min="9" max="9"/>
    <col width="20" customWidth="1" min="10" max="10"/>
    <col width="12" customWidth="1" min="11" max="11"/>
    <col width="26" customWidth="1" min="12" max="12"/>
    <col width="28" customWidth="1" min="13" max="13"/>
    <col width="22" customWidth="1" min="14" max="14"/>
  </cols>
  <sheetData>
    <row r="1" ht="24" customHeight="1">
      <c r="A1" s="1" t="inlineStr">
        <is>
          <t>Authority NOC, Inspection and Certificate Tracker</t>
        </is>
      </c>
    </row>
    <row r="2">
      <c r="A2" s="2" t="inlineStr">
        <is>
          <t>Every authority instrument that must be obtained. Never mark an authority-linked item closed without the instrument reference.</t>
        </is>
      </c>
    </row>
    <row r="4" ht="42" customHeight="1">
      <c r="A4" s="9" t="inlineStr">
        <is>
          <t>Item ID</t>
        </is>
      </c>
      <c r="B4" s="9" t="inlineStr">
        <is>
          <t>Authority</t>
        </is>
      </c>
      <c r="C4" s="9" t="inlineStr">
        <is>
          <t>Instrument required (NOC / inspection / certificate)</t>
        </is>
      </c>
      <c r="D4" s="9" t="inlineStr">
        <is>
          <t>Linked SOR or NCR ID</t>
        </is>
      </c>
      <c r="E4" s="9" t="inlineStr">
        <is>
          <t>Responsible party</t>
        </is>
      </c>
      <c r="F4" s="9" t="inlineStr">
        <is>
          <t>Date requested</t>
        </is>
      </c>
      <c r="G4" s="9" t="inlineStr">
        <is>
          <t>Target date</t>
        </is>
      </c>
      <c r="H4" s="9" t="inlineStr">
        <is>
          <t>Actual date</t>
        </is>
      </c>
      <c r="I4" s="9" t="inlineStr">
        <is>
          <t>Status</t>
        </is>
      </c>
      <c r="J4" s="9" t="inlineStr">
        <is>
          <t>Instrument reference</t>
        </is>
      </c>
      <c r="K4" s="9" t="inlineStr">
        <is>
          <t>Expiry date</t>
        </is>
      </c>
      <c r="L4" s="9" t="inlineStr">
        <is>
          <t>Evidence location (EDMS path)</t>
        </is>
      </c>
      <c r="M4" s="9" t="inlineStr">
        <is>
          <t>Blocker / escalation</t>
        </is>
      </c>
      <c r="N4" s="9" t="inlineStr">
        <is>
          <t>Comments</t>
        </is>
      </c>
    </row>
    <row r="5">
      <c r="A5" s="12" t="n"/>
      <c r="B5" s="12" t="n"/>
      <c r="C5" s="13" t="n"/>
      <c r="D5" s="12" t="n"/>
      <c r="E5" s="12" t="n"/>
      <c r="F5" s="11" t="n"/>
      <c r="G5" s="11" t="n"/>
      <c r="H5" s="11" t="n"/>
      <c r="I5" s="12" t="n"/>
      <c r="J5" s="12" t="n"/>
      <c r="K5" s="11" t="n"/>
      <c r="L5" s="13" t="n"/>
      <c r="M5" s="13" t="n"/>
      <c r="N5" s="13" t="n"/>
    </row>
    <row r="6">
      <c r="A6" s="12" t="n"/>
      <c r="B6" s="12" t="n"/>
      <c r="C6" s="13" t="n"/>
      <c r="D6" s="12" t="n"/>
      <c r="E6" s="12" t="n"/>
      <c r="F6" s="11" t="n"/>
      <c r="G6" s="11" t="n"/>
      <c r="H6" s="11" t="n"/>
      <c r="I6" s="12" t="n"/>
      <c r="J6" s="12" t="n"/>
      <c r="K6" s="11" t="n"/>
      <c r="L6" s="13" t="n"/>
      <c r="M6" s="13" t="n"/>
      <c r="N6" s="13" t="n"/>
    </row>
    <row r="7">
      <c r="A7" s="12" t="n"/>
      <c r="B7" s="12" t="n"/>
      <c r="C7" s="13" t="n"/>
      <c r="D7" s="12" t="n"/>
      <c r="E7" s="12" t="n"/>
      <c r="F7" s="11" t="n"/>
      <c r="G7" s="11" t="n"/>
      <c r="H7" s="11" t="n"/>
      <c r="I7" s="12" t="n"/>
      <c r="J7" s="12" t="n"/>
      <c r="K7" s="11" t="n"/>
      <c r="L7" s="13" t="n"/>
      <c r="M7" s="13" t="n"/>
      <c r="N7" s="13" t="n"/>
    </row>
    <row r="8">
      <c r="A8" s="12" t="n"/>
      <c r="B8" s="12" t="n"/>
      <c r="C8" s="13" t="n"/>
      <c r="D8" s="12" t="n"/>
      <c r="E8" s="12" t="n"/>
      <c r="F8" s="11" t="n"/>
      <c r="G8" s="11" t="n"/>
      <c r="H8" s="11" t="n"/>
      <c r="I8" s="12" t="n"/>
      <c r="J8" s="12" t="n"/>
      <c r="K8" s="11" t="n"/>
      <c r="L8" s="13" t="n"/>
      <c r="M8" s="13" t="n"/>
      <c r="N8" s="13" t="n"/>
    </row>
    <row r="9">
      <c r="A9" s="12" t="n"/>
      <c r="B9" s="12" t="n"/>
      <c r="C9" s="13" t="n"/>
      <c r="D9" s="12" t="n"/>
      <c r="E9" s="12" t="n"/>
      <c r="F9" s="11" t="n"/>
      <c r="G9" s="11" t="n"/>
      <c r="H9" s="11" t="n"/>
      <c r="I9" s="12" t="n"/>
      <c r="J9" s="12" t="n"/>
      <c r="K9" s="11" t="n"/>
      <c r="L9" s="13" t="n"/>
      <c r="M9" s="13" t="n"/>
      <c r="N9" s="13" t="n"/>
    </row>
    <row r="10">
      <c r="A10" s="12" t="n"/>
      <c r="B10" s="12" t="n"/>
      <c r="C10" s="13" t="n"/>
      <c r="D10" s="12" t="n"/>
      <c r="E10" s="12" t="n"/>
      <c r="F10" s="11" t="n"/>
      <c r="G10" s="11" t="n"/>
      <c r="H10" s="11" t="n"/>
      <c r="I10" s="12" t="n"/>
      <c r="J10" s="12" t="n"/>
      <c r="K10" s="11" t="n"/>
      <c r="L10" s="13" t="n"/>
      <c r="M10" s="13" t="n"/>
      <c r="N10" s="13" t="n"/>
    </row>
    <row r="11">
      <c r="A11" s="12" t="n"/>
      <c r="B11" s="12" t="n"/>
      <c r="C11" s="13" t="n"/>
      <c r="D11" s="12" t="n"/>
      <c r="E11" s="12" t="n"/>
      <c r="F11" s="11" t="n"/>
      <c r="G11" s="11" t="n"/>
      <c r="H11" s="11" t="n"/>
      <c r="I11" s="12" t="n"/>
      <c r="J11" s="12" t="n"/>
      <c r="K11" s="11" t="n"/>
      <c r="L11" s="13" t="n"/>
      <c r="M11" s="13" t="n"/>
      <c r="N11" s="13" t="n"/>
    </row>
    <row r="12">
      <c r="A12" s="12" t="n"/>
      <c r="B12" s="12" t="n"/>
      <c r="C12" s="13" t="n"/>
      <c r="D12" s="12" t="n"/>
      <c r="E12" s="12" t="n"/>
      <c r="F12" s="11" t="n"/>
      <c r="G12" s="11" t="n"/>
      <c r="H12" s="11" t="n"/>
      <c r="I12" s="12" t="n"/>
      <c r="J12" s="12" t="n"/>
      <c r="K12" s="11" t="n"/>
      <c r="L12" s="13" t="n"/>
      <c r="M12" s="13" t="n"/>
      <c r="N12" s="13" t="n"/>
    </row>
    <row r="13">
      <c r="A13" s="12" t="n"/>
      <c r="B13" s="12" t="n"/>
      <c r="C13" s="13" t="n"/>
      <c r="D13" s="12" t="n"/>
      <c r="E13" s="12" t="n"/>
      <c r="F13" s="11" t="n"/>
      <c r="G13" s="11" t="n"/>
      <c r="H13" s="11" t="n"/>
      <c r="I13" s="12" t="n"/>
      <c r="J13" s="12" t="n"/>
      <c r="K13" s="11" t="n"/>
      <c r="L13" s="13" t="n"/>
      <c r="M13" s="13" t="n"/>
      <c r="N13" s="13" t="n"/>
    </row>
    <row r="14">
      <c r="A14" s="12" t="n"/>
      <c r="B14" s="12" t="n"/>
      <c r="C14" s="13" t="n"/>
      <c r="D14" s="12" t="n"/>
      <c r="E14" s="12" t="n"/>
      <c r="F14" s="11" t="n"/>
      <c r="G14" s="11" t="n"/>
      <c r="H14" s="11" t="n"/>
      <c r="I14" s="12" t="n"/>
      <c r="J14" s="12" t="n"/>
      <c r="K14" s="11" t="n"/>
      <c r="L14" s="13" t="n"/>
      <c r="M14" s="13" t="n"/>
      <c r="N14" s="13" t="n"/>
    </row>
    <row r="15">
      <c r="A15" s="12" t="n"/>
      <c r="B15" s="12" t="n"/>
      <c r="C15" s="13" t="n"/>
      <c r="D15" s="12" t="n"/>
      <c r="E15" s="12" t="n"/>
      <c r="F15" s="11" t="n"/>
      <c r="G15" s="11" t="n"/>
      <c r="H15" s="11" t="n"/>
      <c r="I15" s="12" t="n"/>
      <c r="J15" s="12" t="n"/>
      <c r="K15" s="11" t="n"/>
      <c r="L15" s="13" t="n"/>
      <c r="M15" s="13" t="n"/>
      <c r="N15" s="13" t="n"/>
    </row>
    <row r="16">
      <c r="A16" s="12" t="n"/>
      <c r="B16" s="12" t="n"/>
      <c r="C16" s="13" t="n"/>
      <c r="D16" s="12" t="n"/>
      <c r="E16" s="12" t="n"/>
      <c r="F16" s="11" t="n"/>
      <c r="G16" s="11" t="n"/>
      <c r="H16" s="11" t="n"/>
      <c r="I16" s="12" t="n"/>
      <c r="J16" s="12" t="n"/>
      <c r="K16" s="11" t="n"/>
      <c r="L16" s="13" t="n"/>
      <c r="M16" s="13" t="n"/>
      <c r="N16" s="13" t="n"/>
    </row>
    <row r="17">
      <c r="A17" s="12" t="n"/>
      <c r="B17" s="12" t="n"/>
      <c r="C17" s="13" t="n"/>
      <c r="D17" s="12" t="n"/>
      <c r="E17" s="12" t="n"/>
      <c r="F17" s="11" t="n"/>
      <c r="G17" s="11" t="n"/>
      <c r="H17" s="11" t="n"/>
      <c r="I17" s="12" t="n"/>
      <c r="J17" s="12" t="n"/>
      <c r="K17" s="11" t="n"/>
      <c r="L17" s="13" t="n"/>
      <c r="M17" s="13" t="n"/>
      <c r="N17" s="13" t="n"/>
    </row>
    <row r="18">
      <c r="A18" s="12" t="n"/>
      <c r="B18" s="12" t="n"/>
      <c r="C18" s="13" t="n"/>
      <c r="D18" s="12" t="n"/>
      <c r="E18" s="12" t="n"/>
      <c r="F18" s="11" t="n"/>
      <c r="G18" s="11" t="n"/>
      <c r="H18" s="11" t="n"/>
      <c r="I18" s="12" t="n"/>
      <c r="J18" s="12" t="n"/>
      <c r="K18" s="11" t="n"/>
      <c r="L18" s="13" t="n"/>
      <c r="M18" s="13" t="n"/>
      <c r="N18" s="13" t="n"/>
    </row>
    <row r="19">
      <c r="A19" s="12" t="n"/>
      <c r="B19" s="12" t="n"/>
      <c r="C19" s="13" t="n"/>
      <c r="D19" s="12" t="n"/>
      <c r="E19" s="12" t="n"/>
      <c r="F19" s="11" t="n"/>
      <c r="G19" s="11" t="n"/>
      <c r="H19" s="11" t="n"/>
      <c r="I19" s="12" t="n"/>
      <c r="J19" s="12" t="n"/>
      <c r="K19" s="11" t="n"/>
      <c r="L19" s="13" t="n"/>
      <c r="M19" s="13" t="n"/>
      <c r="N19" s="13" t="n"/>
    </row>
    <row r="20">
      <c r="A20" s="12" t="n"/>
      <c r="B20" s="12" t="n"/>
      <c r="C20" s="13" t="n"/>
      <c r="D20" s="12" t="n"/>
      <c r="E20" s="12" t="n"/>
      <c r="F20" s="11" t="n"/>
      <c r="G20" s="11" t="n"/>
      <c r="H20" s="11" t="n"/>
      <c r="I20" s="12" t="n"/>
      <c r="J20" s="12" t="n"/>
      <c r="K20" s="11" t="n"/>
      <c r="L20" s="13" t="n"/>
      <c r="M20" s="13" t="n"/>
      <c r="N20" s="13" t="n"/>
    </row>
    <row r="21">
      <c r="A21" s="12" t="n"/>
      <c r="B21" s="12" t="n"/>
      <c r="C21" s="13" t="n"/>
      <c r="D21" s="12" t="n"/>
      <c r="E21" s="12" t="n"/>
      <c r="F21" s="11" t="n"/>
      <c r="G21" s="11" t="n"/>
      <c r="H21" s="11" t="n"/>
      <c r="I21" s="12" t="n"/>
      <c r="J21" s="12" t="n"/>
      <c r="K21" s="11" t="n"/>
      <c r="L21" s="13" t="n"/>
      <c r="M21" s="13" t="n"/>
      <c r="N21" s="13" t="n"/>
    </row>
    <row r="22">
      <c r="A22" s="12" t="n"/>
      <c r="B22" s="12" t="n"/>
      <c r="C22" s="13" t="n"/>
      <c r="D22" s="12" t="n"/>
      <c r="E22" s="12" t="n"/>
      <c r="F22" s="11" t="n"/>
      <c r="G22" s="11" t="n"/>
      <c r="H22" s="11" t="n"/>
      <c r="I22" s="12" t="n"/>
      <c r="J22" s="12" t="n"/>
      <c r="K22" s="11" t="n"/>
      <c r="L22" s="13" t="n"/>
      <c r="M22" s="13" t="n"/>
      <c r="N22" s="13" t="n"/>
    </row>
    <row r="23">
      <c r="A23" s="12" t="n"/>
      <c r="B23" s="12" t="n"/>
      <c r="C23" s="13" t="n"/>
      <c r="D23" s="12" t="n"/>
      <c r="E23" s="12" t="n"/>
      <c r="F23" s="11" t="n"/>
      <c r="G23" s="11" t="n"/>
      <c r="H23" s="11" t="n"/>
      <c r="I23" s="12" t="n"/>
      <c r="J23" s="12" t="n"/>
      <c r="K23" s="11" t="n"/>
      <c r="L23" s="13" t="n"/>
      <c r="M23" s="13" t="n"/>
      <c r="N23" s="13" t="n"/>
    </row>
    <row r="24">
      <c r="A24" s="12" t="n"/>
      <c r="B24" s="12" t="n"/>
      <c r="C24" s="13" t="n"/>
      <c r="D24" s="12" t="n"/>
      <c r="E24" s="12" t="n"/>
      <c r="F24" s="11" t="n"/>
      <c r="G24" s="11" t="n"/>
      <c r="H24" s="11" t="n"/>
      <c r="I24" s="12" t="n"/>
      <c r="J24" s="12" t="n"/>
      <c r="K24" s="11" t="n"/>
      <c r="L24" s="13" t="n"/>
      <c r="M24" s="13" t="n"/>
      <c r="N24" s="13" t="n"/>
    </row>
    <row r="25">
      <c r="A25" s="12" t="n"/>
      <c r="B25" s="12" t="n"/>
      <c r="C25" s="13" t="n"/>
      <c r="D25" s="12" t="n"/>
      <c r="E25" s="12" t="n"/>
      <c r="F25" s="11" t="n"/>
      <c r="G25" s="11" t="n"/>
      <c r="H25" s="11" t="n"/>
      <c r="I25" s="12" t="n"/>
      <c r="J25" s="12" t="n"/>
      <c r="K25" s="11" t="n"/>
      <c r="L25" s="13" t="n"/>
      <c r="M25" s="13" t="n"/>
      <c r="N25" s="13" t="n"/>
    </row>
    <row r="26">
      <c r="A26" s="12" t="n"/>
      <c r="B26" s="12" t="n"/>
      <c r="C26" s="13" t="n"/>
      <c r="D26" s="12" t="n"/>
      <c r="E26" s="12" t="n"/>
      <c r="F26" s="11" t="n"/>
      <c r="G26" s="11" t="n"/>
      <c r="H26" s="11" t="n"/>
      <c r="I26" s="12" t="n"/>
      <c r="J26" s="12" t="n"/>
      <c r="K26" s="11" t="n"/>
      <c r="L26" s="13" t="n"/>
      <c r="M26" s="13" t="n"/>
      <c r="N26" s="13" t="n"/>
    </row>
    <row r="27">
      <c r="A27" s="12" t="n"/>
      <c r="B27" s="12" t="n"/>
      <c r="C27" s="13" t="n"/>
      <c r="D27" s="12" t="n"/>
      <c r="E27" s="12" t="n"/>
      <c r="F27" s="11" t="n"/>
      <c r="G27" s="11" t="n"/>
      <c r="H27" s="11" t="n"/>
      <c r="I27" s="12" t="n"/>
      <c r="J27" s="12" t="n"/>
      <c r="K27" s="11" t="n"/>
      <c r="L27" s="13" t="n"/>
      <c r="M27" s="13" t="n"/>
      <c r="N27" s="13" t="n"/>
    </row>
    <row r="28">
      <c r="A28" s="12" t="n"/>
      <c r="B28" s="12" t="n"/>
      <c r="C28" s="13" t="n"/>
      <c r="D28" s="12" t="n"/>
      <c r="E28" s="12" t="n"/>
      <c r="F28" s="11" t="n"/>
      <c r="G28" s="11" t="n"/>
      <c r="H28" s="11" t="n"/>
      <c r="I28" s="12" t="n"/>
      <c r="J28" s="12" t="n"/>
      <c r="K28" s="11" t="n"/>
      <c r="L28" s="13" t="n"/>
      <c r="M28" s="13" t="n"/>
      <c r="N28" s="13" t="n"/>
    </row>
    <row r="29">
      <c r="A29" s="12" t="n"/>
      <c r="B29" s="12" t="n"/>
      <c r="C29" s="13" t="n"/>
      <c r="D29" s="12" t="n"/>
      <c r="E29" s="12" t="n"/>
      <c r="F29" s="11" t="n"/>
      <c r="G29" s="11" t="n"/>
      <c r="H29" s="11" t="n"/>
      <c r="I29" s="12" t="n"/>
      <c r="J29" s="12" t="n"/>
      <c r="K29" s="11" t="n"/>
      <c r="L29" s="13" t="n"/>
      <c r="M29" s="13" t="n"/>
      <c r="N29" s="13" t="n"/>
    </row>
    <row r="30">
      <c r="A30" s="12" t="n"/>
      <c r="B30" s="12" t="n"/>
      <c r="C30" s="13" t="n"/>
      <c r="D30" s="12" t="n"/>
      <c r="E30" s="12" t="n"/>
      <c r="F30" s="11" t="n"/>
      <c r="G30" s="11" t="n"/>
      <c r="H30" s="11" t="n"/>
      <c r="I30" s="12" t="n"/>
      <c r="J30" s="12" t="n"/>
      <c r="K30" s="11" t="n"/>
      <c r="L30" s="13" t="n"/>
      <c r="M30" s="13" t="n"/>
      <c r="N30" s="13" t="n"/>
    </row>
    <row r="31">
      <c r="A31" s="12" t="n"/>
      <c r="B31" s="12" t="n"/>
      <c r="C31" s="13" t="n"/>
      <c r="D31" s="12" t="n"/>
      <c r="E31" s="12" t="n"/>
      <c r="F31" s="11" t="n"/>
      <c r="G31" s="11" t="n"/>
      <c r="H31" s="11" t="n"/>
      <c r="I31" s="12" t="n"/>
      <c r="J31" s="12" t="n"/>
      <c r="K31" s="11" t="n"/>
      <c r="L31" s="13" t="n"/>
      <c r="M31" s="13" t="n"/>
      <c r="N31" s="13" t="n"/>
    </row>
    <row r="32">
      <c r="A32" s="12" t="n"/>
      <c r="B32" s="12" t="n"/>
      <c r="C32" s="13" t="n"/>
      <c r="D32" s="12" t="n"/>
      <c r="E32" s="12" t="n"/>
      <c r="F32" s="11" t="n"/>
      <c r="G32" s="11" t="n"/>
      <c r="H32" s="11" t="n"/>
      <c r="I32" s="12" t="n"/>
      <c r="J32" s="12" t="n"/>
      <c r="K32" s="11" t="n"/>
      <c r="L32" s="13" t="n"/>
      <c r="M32" s="13" t="n"/>
      <c r="N32" s="13" t="n"/>
    </row>
    <row r="33">
      <c r="A33" s="12" t="n"/>
      <c r="B33" s="12" t="n"/>
      <c r="C33" s="13" t="n"/>
      <c r="D33" s="12" t="n"/>
      <c r="E33" s="12" t="n"/>
      <c r="F33" s="11" t="n"/>
      <c r="G33" s="11" t="n"/>
      <c r="H33" s="11" t="n"/>
      <c r="I33" s="12" t="n"/>
      <c r="J33" s="12" t="n"/>
      <c r="K33" s="11" t="n"/>
      <c r="L33" s="13" t="n"/>
      <c r="M33" s="13" t="n"/>
      <c r="N33" s="13" t="n"/>
    </row>
    <row r="34">
      <c r="A34" s="12" t="n"/>
      <c r="B34" s="12" t="n"/>
      <c r="C34" s="13" t="n"/>
      <c r="D34" s="12" t="n"/>
      <c r="E34" s="12" t="n"/>
      <c r="F34" s="11" t="n"/>
      <c r="G34" s="11" t="n"/>
      <c r="H34" s="11" t="n"/>
      <c r="I34" s="12" t="n"/>
      <c r="J34" s="12" t="n"/>
      <c r="K34" s="11" t="n"/>
      <c r="L34" s="13" t="n"/>
      <c r="M34" s="13" t="n"/>
      <c r="N34" s="13" t="n"/>
    </row>
    <row r="35">
      <c r="A35" s="12" t="n"/>
      <c r="B35" s="12" t="n"/>
      <c r="C35" s="13" t="n"/>
      <c r="D35" s="12" t="n"/>
      <c r="E35" s="12" t="n"/>
      <c r="F35" s="11" t="n"/>
      <c r="G35" s="11" t="n"/>
      <c r="H35" s="11" t="n"/>
      <c r="I35" s="12" t="n"/>
      <c r="J35" s="12" t="n"/>
      <c r="K35" s="11" t="n"/>
      <c r="L35" s="13" t="n"/>
      <c r="M35" s="13" t="n"/>
      <c r="N35" s="13" t="n"/>
    </row>
    <row r="36">
      <c r="A36" s="12" t="n"/>
      <c r="B36" s="12" t="n"/>
      <c r="C36" s="13" t="n"/>
      <c r="D36" s="12" t="n"/>
      <c r="E36" s="12" t="n"/>
      <c r="F36" s="11" t="n"/>
      <c r="G36" s="11" t="n"/>
      <c r="H36" s="11" t="n"/>
      <c r="I36" s="12" t="n"/>
      <c r="J36" s="12" t="n"/>
      <c r="K36" s="11" t="n"/>
      <c r="L36" s="13" t="n"/>
      <c r="M36" s="13" t="n"/>
      <c r="N36" s="13" t="n"/>
    </row>
    <row r="37">
      <c r="A37" s="12" t="n"/>
      <c r="B37" s="12" t="n"/>
      <c r="C37" s="13" t="n"/>
      <c r="D37" s="12" t="n"/>
      <c r="E37" s="12" t="n"/>
      <c r="F37" s="11" t="n"/>
      <c r="G37" s="11" t="n"/>
      <c r="H37" s="11" t="n"/>
      <c r="I37" s="12" t="n"/>
      <c r="J37" s="12" t="n"/>
      <c r="K37" s="11" t="n"/>
      <c r="L37" s="13" t="n"/>
      <c r="M37" s="13" t="n"/>
      <c r="N37" s="13" t="n"/>
    </row>
    <row r="38">
      <c r="A38" s="12" t="n"/>
      <c r="B38" s="12" t="n"/>
      <c r="C38" s="13" t="n"/>
      <c r="D38" s="12" t="n"/>
      <c r="E38" s="12" t="n"/>
      <c r="F38" s="11" t="n"/>
      <c r="G38" s="11" t="n"/>
      <c r="H38" s="11" t="n"/>
      <c r="I38" s="12" t="n"/>
      <c r="J38" s="12" t="n"/>
      <c r="K38" s="11" t="n"/>
      <c r="L38" s="13" t="n"/>
      <c r="M38" s="13" t="n"/>
      <c r="N38" s="13" t="n"/>
    </row>
    <row r="39">
      <c r="A39" s="12" t="n"/>
      <c r="B39" s="12" t="n"/>
      <c r="C39" s="13" t="n"/>
      <c r="D39" s="12" t="n"/>
      <c r="E39" s="12" t="n"/>
      <c r="F39" s="11" t="n"/>
      <c r="G39" s="11" t="n"/>
      <c r="H39" s="11" t="n"/>
      <c r="I39" s="12" t="n"/>
      <c r="J39" s="12" t="n"/>
      <c r="K39" s="11" t="n"/>
      <c r="L39" s="13" t="n"/>
      <c r="M39" s="13" t="n"/>
      <c r="N39" s="13" t="n"/>
    </row>
    <row r="40">
      <c r="A40" s="12" t="n"/>
      <c r="B40" s="12" t="n"/>
      <c r="C40" s="13" t="n"/>
      <c r="D40" s="12" t="n"/>
      <c r="E40" s="12" t="n"/>
      <c r="F40" s="11" t="n"/>
      <c r="G40" s="11" t="n"/>
      <c r="H40" s="11" t="n"/>
      <c r="I40" s="12" t="n"/>
      <c r="J40" s="12" t="n"/>
      <c r="K40" s="11" t="n"/>
      <c r="L40" s="13" t="n"/>
      <c r="M40" s="13" t="n"/>
      <c r="N40" s="13" t="n"/>
    </row>
    <row r="41">
      <c r="A41" s="12" t="n"/>
      <c r="B41" s="12" t="n"/>
      <c r="C41" s="13" t="n"/>
      <c r="D41" s="12" t="n"/>
      <c r="E41" s="12" t="n"/>
      <c r="F41" s="11" t="n"/>
      <c r="G41" s="11" t="n"/>
      <c r="H41" s="11" t="n"/>
      <c r="I41" s="12" t="n"/>
      <c r="J41" s="12" t="n"/>
      <c r="K41" s="11" t="n"/>
      <c r="L41" s="13" t="n"/>
      <c r="M41" s="13" t="n"/>
      <c r="N41" s="13" t="n"/>
    </row>
    <row r="42">
      <c r="A42" s="12" t="n"/>
      <c r="B42" s="12" t="n"/>
      <c r="C42" s="13" t="n"/>
      <c r="D42" s="12" t="n"/>
      <c r="E42" s="12" t="n"/>
      <c r="F42" s="11" t="n"/>
      <c r="G42" s="11" t="n"/>
      <c r="H42" s="11" t="n"/>
      <c r="I42" s="12" t="n"/>
      <c r="J42" s="12" t="n"/>
      <c r="K42" s="11" t="n"/>
      <c r="L42" s="13" t="n"/>
      <c r="M42" s="13" t="n"/>
      <c r="N42" s="13" t="n"/>
    </row>
    <row r="43">
      <c r="A43" s="12" t="n"/>
      <c r="B43" s="12" t="n"/>
      <c r="C43" s="13" t="n"/>
      <c r="D43" s="12" t="n"/>
      <c r="E43" s="12" t="n"/>
      <c r="F43" s="11" t="n"/>
      <c r="G43" s="11" t="n"/>
      <c r="H43" s="11" t="n"/>
      <c r="I43" s="12" t="n"/>
      <c r="J43" s="12" t="n"/>
      <c r="K43" s="11" t="n"/>
      <c r="L43" s="13" t="n"/>
      <c r="M43" s="13" t="n"/>
      <c r="N43" s="13" t="n"/>
    </row>
    <row r="44">
      <c r="A44" s="12" t="n"/>
      <c r="B44" s="12" t="n"/>
      <c r="C44" s="13" t="n"/>
      <c r="D44" s="12" t="n"/>
      <c r="E44" s="12" t="n"/>
      <c r="F44" s="11" t="n"/>
      <c r="G44" s="11" t="n"/>
      <c r="H44" s="11" t="n"/>
      <c r="I44" s="12" t="n"/>
      <c r="J44" s="12" t="n"/>
      <c r="K44" s="11" t="n"/>
      <c r="L44" s="13" t="n"/>
      <c r="M44" s="13" t="n"/>
      <c r="N44" s="13" t="n"/>
    </row>
    <row r="45">
      <c r="A45" s="12" t="n"/>
      <c r="B45" s="12" t="n"/>
      <c r="C45" s="13" t="n"/>
      <c r="D45" s="12" t="n"/>
      <c r="E45" s="12" t="n"/>
      <c r="F45" s="11" t="n"/>
      <c r="G45" s="11" t="n"/>
      <c r="H45" s="11" t="n"/>
      <c r="I45" s="12" t="n"/>
      <c r="J45" s="12" t="n"/>
      <c r="K45" s="11" t="n"/>
      <c r="L45" s="13" t="n"/>
      <c r="M45" s="13" t="n"/>
      <c r="N45" s="13" t="n"/>
    </row>
    <row r="46">
      <c r="A46" s="12" t="n"/>
      <c r="B46" s="12" t="n"/>
      <c r="C46" s="13" t="n"/>
      <c r="D46" s="12" t="n"/>
      <c r="E46" s="12" t="n"/>
      <c r="F46" s="11" t="n"/>
      <c r="G46" s="11" t="n"/>
      <c r="H46" s="11" t="n"/>
      <c r="I46" s="12" t="n"/>
      <c r="J46" s="12" t="n"/>
      <c r="K46" s="11" t="n"/>
      <c r="L46" s="13" t="n"/>
      <c r="M46" s="13" t="n"/>
      <c r="N46" s="13" t="n"/>
    </row>
    <row r="47">
      <c r="A47" s="12" t="n"/>
      <c r="B47" s="12" t="n"/>
      <c r="C47" s="13" t="n"/>
      <c r="D47" s="12" t="n"/>
      <c r="E47" s="12" t="n"/>
      <c r="F47" s="11" t="n"/>
      <c r="G47" s="11" t="n"/>
      <c r="H47" s="11" t="n"/>
      <c r="I47" s="12" t="n"/>
      <c r="J47" s="12" t="n"/>
      <c r="K47" s="11" t="n"/>
      <c r="L47" s="13" t="n"/>
      <c r="M47" s="13" t="n"/>
      <c r="N47" s="13" t="n"/>
    </row>
    <row r="48">
      <c r="A48" s="12" t="n"/>
      <c r="B48" s="12" t="n"/>
      <c r="C48" s="13" t="n"/>
      <c r="D48" s="12" t="n"/>
      <c r="E48" s="12" t="n"/>
      <c r="F48" s="11" t="n"/>
      <c r="G48" s="11" t="n"/>
      <c r="H48" s="11" t="n"/>
      <c r="I48" s="12" t="n"/>
      <c r="J48" s="12" t="n"/>
      <c r="K48" s="11" t="n"/>
      <c r="L48" s="13" t="n"/>
      <c r="M48" s="13" t="n"/>
      <c r="N48" s="13" t="n"/>
    </row>
    <row r="49">
      <c r="A49" s="12" t="n"/>
      <c r="B49" s="12" t="n"/>
      <c r="C49" s="13" t="n"/>
      <c r="D49" s="12" t="n"/>
      <c r="E49" s="12" t="n"/>
      <c r="F49" s="11" t="n"/>
      <c r="G49" s="11" t="n"/>
      <c r="H49" s="11" t="n"/>
      <c r="I49" s="12" t="n"/>
      <c r="J49" s="12" t="n"/>
      <c r="K49" s="11" t="n"/>
      <c r="L49" s="13" t="n"/>
      <c r="M49" s="13" t="n"/>
      <c r="N49" s="13" t="n"/>
    </row>
    <row r="50">
      <c r="A50" s="12" t="n"/>
      <c r="B50" s="12" t="n"/>
      <c r="C50" s="13" t="n"/>
      <c r="D50" s="12" t="n"/>
      <c r="E50" s="12" t="n"/>
      <c r="F50" s="11" t="n"/>
      <c r="G50" s="11" t="n"/>
      <c r="H50" s="11" t="n"/>
      <c r="I50" s="12" t="n"/>
      <c r="J50" s="12" t="n"/>
      <c r="K50" s="11" t="n"/>
      <c r="L50" s="13" t="n"/>
      <c r="M50" s="13" t="n"/>
      <c r="N50" s="13" t="n"/>
    </row>
    <row r="51">
      <c r="A51" s="12" t="n"/>
      <c r="B51" s="12" t="n"/>
      <c r="C51" s="13" t="n"/>
      <c r="D51" s="12" t="n"/>
      <c r="E51" s="12" t="n"/>
      <c r="F51" s="11" t="n"/>
      <c r="G51" s="11" t="n"/>
      <c r="H51" s="11" t="n"/>
      <c r="I51" s="12" t="n"/>
      <c r="J51" s="12" t="n"/>
      <c r="K51" s="11" t="n"/>
      <c r="L51" s="13" t="n"/>
      <c r="M51" s="13" t="n"/>
      <c r="N51" s="13" t="n"/>
    </row>
    <row r="52">
      <c r="A52" s="12" t="n"/>
      <c r="B52" s="12" t="n"/>
      <c r="C52" s="13" t="n"/>
      <c r="D52" s="12" t="n"/>
      <c r="E52" s="12" t="n"/>
      <c r="F52" s="11" t="n"/>
      <c r="G52" s="11" t="n"/>
      <c r="H52" s="11" t="n"/>
      <c r="I52" s="12" t="n"/>
      <c r="J52" s="12" t="n"/>
      <c r="K52" s="11" t="n"/>
      <c r="L52" s="13" t="n"/>
      <c r="M52" s="13" t="n"/>
      <c r="N52" s="13" t="n"/>
    </row>
    <row r="53">
      <c r="A53" s="12" t="n"/>
      <c r="B53" s="12" t="n"/>
      <c r="C53" s="13" t="n"/>
      <c r="D53" s="12" t="n"/>
      <c r="E53" s="12" t="n"/>
      <c r="F53" s="11" t="n"/>
      <c r="G53" s="11" t="n"/>
      <c r="H53" s="11" t="n"/>
      <c r="I53" s="12" t="n"/>
      <c r="J53" s="12" t="n"/>
      <c r="K53" s="11" t="n"/>
      <c r="L53" s="13" t="n"/>
      <c r="M53" s="13" t="n"/>
      <c r="N53" s="13" t="n"/>
    </row>
    <row r="54">
      <c r="A54" s="12" t="n"/>
      <c r="B54" s="12" t="n"/>
      <c r="C54" s="13" t="n"/>
      <c r="D54" s="12" t="n"/>
      <c r="E54" s="12" t="n"/>
      <c r="F54" s="11" t="n"/>
      <c r="G54" s="11" t="n"/>
      <c r="H54" s="11" t="n"/>
      <c r="I54" s="12" t="n"/>
      <c r="J54" s="12" t="n"/>
      <c r="K54" s="11" t="n"/>
      <c r="L54" s="13" t="n"/>
      <c r="M54" s="13" t="n"/>
      <c r="N54" s="13" t="n"/>
    </row>
    <row r="55">
      <c r="A55" s="12" t="n"/>
      <c r="B55" s="12" t="n"/>
      <c r="C55" s="13" t="n"/>
      <c r="D55" s="12" t="n"/>
      <c r="E55" s="12" t="n"/>
      <c r="F55" s="11" t="n"/>
      <c r="G55" s="11" t="n"/>
      <c r="H55" s="11" t="n"/>
      <c r="I55" s="12" t="n"/>
      <c r="J55" s="12" t="n"/>
      <c r="K55" s="11" t="n"/>
      <c r="L55" s="13" t="n"/>
      <c r="M55" s="13" t="n"/>
      <c r="N55" s="13" t="n"/>
    </row>
    <row r="56">
      <c r="A56" s="12" t="n"/>
      <c r="B56" s="12" t="n"/>
      <c r="C56" s="13" t="n"/>
      <c r="D56" s="12" t="n"/>
      <c r="E56" s="12" t="n"/>
      <c r="F56" s="11" t="n"/>
      <c r="G56" s="11" t="n"/>
      <c r="H56" s="11" t="n"/>
      <c r="I56" s="12" t="n"/>
      <c r="J56" s="12" t="n"/>
      <c r="K56" s="11" t="n"/>
      <c r="L56" s="13" t="n"/>
      <c r="M56" s="13" t="n"/>
      <c r="N56" s="13" t="n"/>
    </row>
    <row r="57">
      <c r="A57" s="12" t="n"/>
      <c r="B57" s="12" t="n"/>
      <c r="C57" s="13" t="n"/>
      <c r="D57" s="12" t="n"/>
      <c r="E57" s="12" t="n"/>
      <c r="F57" s="11" t="n"/>
      <c r="G57" s="11" t="n"/>
      <c r="H57" s="11" t="n"/>
      <c r="I57" s="12" t="n"/>
      <c r="J57" s="12" t="n"/>
      <c r="K57" s="11" t="n"/>
      <c r="L57" s="13" t="n"/>
      <c r="M57" s="13" t="n"/>
      <c r="N57" s="13" t="n"/>
    </row>
    <row r="58">
      <c r="A58" s="12" t="n"/>
      <c r="B58" s="12" t="n"/>
      <c r="C58" s="13" t="n"/>
      <c r="D58" s="12" t="n"/>
      <c r="E58" s="12" t="n"/>
      <c r="F58" s="11" t="n"/>
      <c r="G58" s="11" t="n"/>
      <c r="H58" s="11" t="n"/>
      <c r="I58" s="12" t="n"/>
      <c r="J58" s="12" t="n"/>
      <c r="K58" s="11" t="n"/>
      <c r="L58" s="13" t="n"/>
      <c r="M58" s="13" t="n"/>
      <c r="N58" s="13" t="n"/>
    </row>
    <row r="59">
      <c r="A59" s="12" t="n"/>
      <c r="B59" s="12" t="n"/>
      <c r="C59" s="13" t="n"/>
      <c r="D59" s="12" t="n"/>
      <c r="E59" s="12" t="n"/>
      <c r="F59" s="11" t="n"/>
      <c r="G59" s="11" t="n"/>
      <c r="H59" s="11" t="n"/>
      <c r="I59" s="12" t="n"/>
      <c r="J59" s="12" t="n"/>
      <c r="K59" s="11" t="n"/>
      <c r="L59" s="13" t="n"/>
      <c r="M59" s="13" t="n"/>
      <c r="N59" s="13" t="n"/>
    </row>
    <row r="60">
      <c r="A60" s="12" t="n"/>
      <c r="B60" s="12" t="n"/>
      <c r="C60" s="13" t="n"/>
      <c r="D60" s="12" t="n"/>
      <c r="E60" s="12" t="n"/>
      <c r="F60" s="11" t="n"/>
      <c r="G60" s="11" t="n"/>
      <c r="H60" s="11" t="n"/>
      <c r="I60" s="12" t="n"/>
      <c r="J60" s="12" t="n"/>
      <c r="K60" s="11" t="n"/>
      <c r="L60" s="13" t="n"/>
      <c r="M60" s="13" t="n"/>
      <c r="N60" s="13" t="n"/>
    </row>
    <row r="61">
      <c r="A61" s="12" t="n"/>
      <c r="B61" s="12" t="n"/>
      <c r="C61" s="13" t="n"/>
      <c r="D61" s="12" t="n"/>
      <c r="E61" s="12" t="n"/>
      <c r="F61" s="11" t="n"/>
      <c r="G61" s="11" t="n"/>
      <c r="H61" s="11" t="n"/>
      <c r="I61" s="12" t="n"/>
      <c r="J61" s="12" t="n"/>
      <c r="K61" s="11" t="n"/>
      <c r="L61" s="13" t="n"/>
      <c r="M61" s="13" t="n"/>
      <c r="N61" s="13" t="n"/>
    </row>
    <row r="62">
      <c r="A62" s="12" t="n"/>
      <c r="B62" s="12" t="n"/>
      <c r="C62" s="13" t="n"/>
      <c r="D62" s="12" t="n"/>
      <c r="E62" s="12" t="n"/>
      <c r="F62" s="11" t="n"/>
      <c r="G62" s="11" t="n"/>
      <c r="H62" s="11" t="n"/>
      <c r="I62" s="12" t="n"/>
      <c r="J62" s="12" t="n"/>
      <c r="K62" s="11" t="n"/>
      <c r="L62" s="13" t="n"/>
      <c r="M62" s="13" t="n"/>
      <c r="N62" s="13" t="n"/>
    </row>
    <row r="63">
      <c r="A63" s="12" t="n"/>
      <c r="B63" s="12" t="n"/>
      <c r="C63" s="13" t="n"/>
      <c r="D63" s="12" t="n"/>
      <c r="E63" s="12" t="n"/>
      <c r="F63" s="11" t="n"/>
      <c r="G63" s="11" t="n"/>
      <c r="H63" s="11" t="n"/>
      <c r="I63" s="12" t="n"/>
      <c r="J63" s="12" t="n"/>
      <c r="K63" s="11" t="n"/>
      <c r="L63" s="13" t="n"/>
      <c r="M63" s="13" t="n"/>
      <c r="N63" s="13" t="n"/>
    </row>
    <row r="64">
      <c r="A64" s="12" t="n"/>
      <c r="B64" s="12" t="n"/>
      <c r="C64" s="13" t="n"/>
      <c r="D64" s="12" t="n"/>
      <c r="E64" s="12" t="n"/>
      <c r="F64" s="11" t="n"/>
      <c r="G64" s="11" t="n"/>
      <c r="H64" s="11" t="n"/>
      <c r="I64" s="12" t="n"/>
      <c r="J64" s="12" t="n"/>
      <c r="K64" s="11" t="n"/>
      <c r="L64" s="13" t="n"/>
      <c r="M64" s="13" t="n"/>
      <c r="N64" s="13" t="n"/>
    </row>
    <row r="65">
      <c r="A65" s="12" t="n"/>
      <c r="B65" s="12" t="n"/>
      <c r="C65" s="13" t="n"/>
      <c r="D65" s="12" t="n"/>
      <c r="E65" s="12" t="n"/>
      <c r="F65" s="11" t="n"/>
      <c r="G65" s="11" t="n"/>
      <c r="H65" s="11" t="n"/>
      <c r="I65" s="12" t="n"/>
      <c r="J65" s="12" t="n"/>
      <c r="K65" s="11" t="n"/>
      <c r="L65" s="13" t="n"/>
      <c r="M65" s="13" t="n"/>
      <c r="N65" s="13" t="n"/>
    </row>
    <row r="66">
      <c r="A66" s="12" t="n"/>
      <c r="B66" s="12" t="n"/>
      <c r="C66" s="13" t="n"/>
      <c r="D66" s="12" t="n"/>
      <c r="E66" s="12" t="n"/>
      <c r="F66" s="11" t="n"/>
      <c r="G66" s="11" t="n"/>
      <c r="H66" s="11" t="n"/>
      <c r="I66" s="12" t="n"/>
      <c r="J66" s="12" t="n"/>
      <c r="K66" s="11" t="n"/>
      <c r="L66" s="13" t="n"/>
      <c r="M66" s="13" t="n"/>
      <c r="N66" s="13" t="n"/>
    </row>
    <row r="67">
      <c r="A67" s="12" t="n"/>
      <c r="B67" s="12" t="n"/>
      <c r="C67" s="13" t="n"/>
      <c r="D67" s="12" t="n"/>
      <c r="E67" s="12" t="n"/>
      <c r="F67" s="11" t="n"/>
      <c r="G67" s="11" t="n"/>
      <c r="H67" s="11" t="n"/>
      <c r="I67" s="12" t="n"/>
      <c r="J67" s="12" t="n"/>
      <c r="K67" s="11" t="n"/>
      <c r="L67" s="13" t="n"/>
      <c r="M67" s="13" t="n"/>
      <c r="N67" s="13" t="n"/>
    </row>
    <row r="68">
      <c r="A68" s="12" t="n"/>
      <c r="B68" s="12" t="n"/>
      <c r="C68" s="13" t="n"/>
      <c r="D68" s="12" t="n"/>
      <c r="E68" s="12" t="n"/>
      <c r="F68" s="11" t="n"/>
      <c r="G68" s="11" t="n"/>
      <c r="H68" s="11" t="n"/>
      <c r="I68" s="12" t="n"/>
      <c r="J68" s="12" t="n"/>
      <c r="K68" s="11" t="n"/>
      <c r="L68" s="13" t="n"/>
      <c r="M68" s="13" t="n"/>
      <c r="N68" s="13" t="n"/>
    </row>
    <row r="69">
      <c r="A69" s="12" t="n"/>
      <c r="B69" s="12" t="n"/>
      <c r="C69" s="13" t="n"/>
      <c r="D69" s="12" t="n"/>
      <c r="E69" s="12" t="n"/>
      <c r="F69" s="11" t="n"/>
      <c r="G69" s="11" t="n"/>
      <c r="H69" s="11" t="n"/>
      <c r="I69" s="12" t="n"/>
      <c r="J69" s="12" t="n"/>
      <c r="K69" s="11" t="n"/>
      <c r="L69" s="13" t="n"/>
      <c r="M69" s="13" t="n"/>
      <c r="N69" s="13" t="n"/>
    </row>
    <row r="70">
      <c r="A70" s="12" t="n"/>
      <c r="B70" s="12" t="n"/>
      <c r="C70" s="13" t="n"/>
      <c r="D70" s="12" t="n"/>
      <c r="E70" s="12" t="n"/>
      <c r="F70" s="11" t="n"/>
      <c r="G70" s="11" t="n"/>
      <c r="H70" s="11" t="n"/>
      <c r="I70" s="12" t="n"/>
      <c r="J70" s="12" t="n"/>
      <c r="K70" s="11" t="n"/>
      <c r="L70" s="13" t="n"/>
      <c r="M70" s="13" t="n"/>
      <c r="N70" s="13" t="n"/>
    </row>
    <row r="71">
      <c r="A71" s="12" t="n"/>
      <c r="B71" s="12" t="n"/>
      <c r="C71" s="13" t="n"/>
      <c r="D71" s="12" t="n"/>
      <c r="E71" s="12" t="n"/>
      <c r="F71" s="11" t="n"/>
      <c r="G71" s="11" t="n"/>
      <c r="H71" s="11" t="n"/>
      <c r="I71" s="12" t="n"/>
      <c r="J71" s="12" t="n"/>
      <c r="K71" s="11" t="n"/>
      <c r="L71" s="13" t="n"/>
      <c r="M71" s="13" t="n"/>
      <c r="N71" s="13" t="n"/>
    </row>
    <row r="72">
      <c r="A72" s="12" t="n"/>
      <c r="B72" s="12" t="n"/>
      <c r="C72" s="13" t="n"/>
      <c r="D72" s="12" t="n"/>
      <c r="E72" s="12" t="n"/>
      <c r="F72" s="11" t="n"/>
      <c r="G72" s="11" t="n"/>
      <c r="H72" s="11" t="n"/>
      <c r="I72" s="12" t="n"/>
      <c r="J72" s="12" t="n"/>
      <c r="K72" s="11" t="n"/>
      <c r="L72" s="13" t="n"/>
      <c r="M72" s="13" t="n"/>
      <c r="N72" s="13" t="n"/>
    </row>
    <row r="73">
      <c r="A73" s="12" t="n"/>
      <c r="B73" s="12" t="n"/>
      <c r="C73" s="13" t="n"/>
      <c r="D73" s="12" t="n"/>
      <c r="E73" s="12" t="n"/>
      <c r="F73" s="11" t="n"/>
      <c r="G73" s="11" t="n"/>
      <c r="H73" s="11" t="n"/>
      <c r="I73" s="12" t="n"/>
      <c r="J73" s="12" t="n"/>
      <c r="K73" s="11" t="n"/>
      <c r="L73" s="13" t="n"/>
      <c r="M73" s="13" t="n"/>
      <c r="N73" s="13" t="n"/>
    </row>
    <row r="74">
      <c r="A74" s="12" t="n"/>
      <c r="B74" s="12" t="n"/>
      <c r="C74" s="13" t="n"/>
      <c r="D74" s="12" t="n"/>
      <c r="E74" s="12" t="n"/>
      <c r="F74" s="11" t="n"/>
      <c r="G74" s="11" t="n"/>
      <c r="H74" s="11" t="n"/>
      <c r="I74" s="12" t="n"/>
      <c r="J74" s="12" t="n"/>
      <c r="K74" s="11" t="n"/>
      <c r="L74" s="13" t="n"/>
      <c r="M74" s="13" t="n"/>
      <c r="N74" s="13" t="n"/>
    </row>
    <row r="75">
      <c r="A75" s="12" t="n"/>
      <c r="B75" s="12" t="n"/>
      <c r="C75" s="13" t="n"/>
      <c r="D75" s="12" t="n"/>
      <c r="E75" s="12" t="n"/>
      <c r="F75" s="11" t="n"/>
      <c r="G75" s="11" t="n"/>
      <c r="H75" s="11" t="n"/>
      <c r="I75" s="12" t="n"/>
      <c r="J75" s="12" t="n"/>
      <c r="K75" s="11" t="n"/>
      <c r="L75" s="13" t="n"/>
      <c r="M75" s="13" t="n"/>
      <c r="N75" s="13" t="n"/>
    </row>
    <row r="76">
      <c r="A76" s="12" t="n"/>
      <c r="B76" s="12" t="n"/>
      <c r="C76" s="13" t="n"/>
      <c r="D76" s="12" t="n"/>
      <c r="E76" s="12" t="n"/>
      <c r="F76" s="11" t="n"/>
      <c r="G76" s="11" t="n"/>
      <c r="H76" s="11" t="n"/>
      <c r="I76" s="12" t="n"/>
      <c r="J76" s="12" t="n"/>
      <c r="K76" s="11" t="n"/>
      <c r="L76" s="13" t="n"/>
      <c r="M76" s="13" t="n"/>
      <c r="N76" s="13" t="n"/>
    </row>
    <row r="77">
      <c r="A77" s="12" t="n"/>
      <c r="B77" s="12" t="n"/>
      <c r="C77" s="13" t="n"/>
      <c r="D77" s="12" t="n"/>
      <c r="E77" s="12" t="n"/>
      <c r="F77" s="11" t="n"/>
      <c r="G77" s="11" t="n"/>
      <c r="H77" s="11" t="n"/>
      <c r="I77" s="12" t="n"/>
      <c r="J77" s="12" t="n"/>
      <c r="K77" s="11" t="n"/>
      <c r="L77" s="13" t="n"/>
      <c r="M77" s="13" t="n"/>
      <c r="N77" s="13" t="n"/>
    </row>
    <row r="78">
      <c r="A78" s="12" t="n"/>
      <c r="B78" s="12" t="n"/>
      <c r="C78" s="13" t="n"/>
      <c r="D78" s="12" t="n"/>
      <c r="E78" s="12" t="n"/>
      <c r="F78" s="11" t="n"/>
      <c r="G78" s="11" t="n"/>
      <c r="H78" s="11" t="n"/>
      <c r="I78" s="12" t="n"/>
      <c r="J78" s="12" t="n"/>
      <c r="K78" s="11" t="n"/>
      <c r="L78" s="13" t="n"/>
      <c r="M78" s="13" t="n"/>
      <c r="N78" s="13" t="n"/>
    </row>
    <row r="79">
      <c r="A79" s="12" t="n"/>
      <c r="B79" s="12" t="n"/>
      <c r="C79" s="13" t="n"/>
      <c r="D79" s="12" t="n"/>
      <c r="E79" s="12" t="n"/>
      <c r="F79" s="11" t="n"/>
      <c r="G79" s="11" t="n"/>
      <c r="H79" s="11" t="n"/>
      <c r="I79" s="12" t="n"/>
      <c r="J79" s="12" t="n"/>
      <c r="K79" s="11" t="n"/>
      <c r="L79" s="13" t="n"/>
      <c r="M79" s="13" t="n"/>
      <c r="N79" s="13" t="n"/>
    </row>
    <row r="80">
      <c r="A80" s="12" t="n"/>
      <c r="B80" s="12" t="n"/>
      <c r="C80" s="13" t="n"/>
      <c r="D80" s="12" t="n"/>
      <c r="E80" s="12" t="n"/>
      <c r="F80" s="11" t="n"/>
      <c r="G80" s="11" t="n"/>
      <c r="H80" s="11" t="n"/>
      <c r="I80" s="12" t="n"/>
      <c r="J80" s="12" t="n"/>
      <c r="K80" s="11" t="n"/>
      <c r="L80" s="13" t="n"/>
      <c r="M80" s="13" t="n"/>
      <c r="N80" s="13" t="n"/>
    </row>
    <row r="81">
      <c r="A81" s="12" t="n"/>
      <c r="B81" s="12" t="n"/>
      <c r="C81" s="13" t="n"/>
      <c r="D81" s="12" t="n"/>
      <c r="E81" s="12" t="n"/>
      <c r="F81" s="11" t="n"/>
      <c r="G81" s="11" t="n"/>
      <c r="H81" s="11" t="n"/>
      <c r="I81" s="12" t="n"/>
      <c r="J81" s="12" t="n"/>
      <c r="K81" s="11" t="n"/>
      <c r="L81" s="13" t="n"/>
      <c r="M81" s="13" t="n"/>
      <c r="N81" s="13" t="n"/>
    </row>
    <row r="82">
      <c r="A82" s="12" t="n"/>
      <c r="B82" s="12" t="n"/>
      <c r="C82" s="13" t="n"/>
      <c r="D82" s="12" t="n"/>
      <c r="E82" s="12" t="n"/>
      <c r="F82" s="11" t="n"/>
      <c r="G82" s="11" t="n"/>
      <c r="H82" s="11" t="n"/>
      <c r="I82" s="12" t="n"/>
      <c r="J82" s="12" t="n"/>
      <c r="K82" s="11" t="n"/>
      <c r="L82" s="13" t="n"/>
      <c r="M82" s="13" t="n"/>
      <c r="N82" s="13" t="n"/>
    </row>
    <row r="83">
      <c r="A83" s="12" t="n"/>
      <c r="B83" s="12" t="n"/>
      <c r="C83" s="13" t="n"/>
      <c r="D83" s="12" t="n"/>
      <c r="E83" s="12" t="n"/>
      <c r="F83" s="11" t="n"/>
      <c r="G83" s="11" t="n"/>
      <c r="H83" s="11" t="n"/>
      <c r="I83" s="12" t="n"/>
      <c r="J83" s="12" t="n"/>
      <c r="K83" s="11" t="n"/>
      <c r="L83" s="13" t="n"/>
      <c r="M83" s="13" t="n"/>
      <c r="N83" s="13" t="n"/>
    </row>
    <row r="84">
      <c r="A84" s="12" t="n"/>
      <c r="B84" s="12" t="n"/>
      <c r="C84" s="13" t="n"/>
      <c r="D84" s="12" t="n"/>
      <c r="E84" s="12" t="n"/>
      <c r="F84" s="11" t="n"/>
      <c r="G84" s="11" t="n"/>
      <c r="H84" s="11" t="n"/>
      <c r="I84" s="12" t="n"/>
      <c r="J84" s="12" t="n"/>
      <c r="K84" s="11" t="n"/>
      <c r="L84" s="13" t="n"/>
      <c r="M84" s="13" t="n"/>
      <c r="N84" s="13" t="n"/>
    </row>
    <row r="85">
      <c r="A85" s="12" t="n"/>
      <c r="B85" s="12" t="n"/>
      <c r="C85" s="13" t="n"/>
      <c r="D85" s="12" t="n"/>
      <c r="E85" s="12" t="n"/>
      <c r="F85" s="11" t="n"/>
      <c r="G85" s="11" t="n"/>
      <c r="H85" s="11" t="n"/>
      <c r="I85" s="12" t="n"/>
      <c r="J85" s="12" t="n"/>
      <c r="K85" s="11" t="n"/>
      <c r="L85" s="13" t="n"/>
      <c r="M85" s="13" t="n"/>
      <c r="N85" s="13" t="n"/>
    </row>
    <row r="86">
      <c r="A86" s="12" t="n"/>
      <c r="B86" s="12" t="n"/>
      <c r="C86" s="13" t="n"/>
      <c r="D86" s="12" t="n"/>
      <c r="E86" s="12" t="n"/>
      <c r="F86" s="11" t="n"/>
      <c r="G86" s="11" t="n"/>
      <c r="H86" s="11" t="n"/>
      <c r="I86" s="12" t="n"/>
      <c r="J86" s="12" t="n"/>
      <c r="K86" s="11" t="n"/>
      <c r="L86" s="13" t="n"/>
      <c r="M86" s="13" t="n"/>
      <c r="N86" s="13" t="n"/>
    </row>
    <row r="87">
      <c r="A87" s="12" t="n"/>
      <c r="B87" s="12" t="n"/>
      <c r="C87" s="13" t="n"/>
      <c r="D87" s="12" t="n"/>
      <c r="E87" s="12" t="n"/>
      <c r="F87" s="11" t="n"/>
      <c r="G87" s="11" t="n"/>
      <c r="H87" s="11" t="n"/>
      <c r="I87" s="12" t="n"/>
      <c r="J87" s="12" t="n"/>
      <c r="K87" s="11" t="n"/>
      <c r="L87" s="13" t="n"/>
      <c r="M87" s="13" t="n"/>
      <c r="N87" s="13" t="n"/>
    </row>
    <row r="88">
      <c r="A88" s="12" t="n"/>
      <c r="B88" s="12" t="n"/>
      <c r="C88" s="13" t="n"/>
      <c r="D88" s="12" t="n"/>
      <c r="E88" s="12" t="n"/>
      <c r="F88" s="11" t="n"/>
      <c r="G88" s="11" t="n"/>
      <c r="H88" s="11" t="n"/>
      <c r="I88" s="12" t="n"/>
      <c r="J88" s="12" t="n"/>
      <c r="K88" s="11" t="n"/>
      <c r="L88" s="13" t="n"/>
      <c r="M88" s="13" t="n"/>
      <c r="N88" s="13" t="n"/>
    </row>
    <row r="89">
      <c r="A89" s="12" t="n"/>
      <c r="B89" s="12" t="n"/>
      <c r="C89" s="13" t="n"/>
      <c r="D89" s="12" t="n"/>
      <c r="E89" s="12" t="n"/>
      <c r="F89" s="11" t="n"/>
      <c r="G89" s="11" t="n"/>
      <c r="H89" s="11" t="n"/>
      <c r="I89" s="12" t="n"/>
      <c r="J89" s="12" t="n"/>
      <c r="K89" s="11" t="n"/>
      <c r="L89" s="13" t="n"/>
      <c r="M89" s="13" t="n"/>
      <c r="N89" s="13" t="n"/>
    </row>
    <row r="90">
      <c r="A90" s="12" t="n"/>
      <c r="B90" s="12" t="n"/>
      <c r="C90" s="13" t="n"/>
      <c r="D90" s="12" t="n"/>
      <c r="E90" s="12" t="n"/>
      <c r="F90" s="11" t="n"/>
      <c r="G90" s="11" t="n"/>
      <c r="H90" s="11" t="n"/>
      <c r="I90" s="12" t="n"/>
      <c r="J90" s="12" t="n"/>
      <c r="K90" s="11" t="n"/>
      <c r="L90" s="13" t="n"/>
      <c r="M90" s="13" t="n"/>
      <c r="N90" s="13" t="n"/>
    </row>
    <row r="91">
      <c r="A91" s="12" t="n"/>
      <c r="B91" s="12" t="n"/>
      <c r="C91" s="13" t="n"/>
      <c r="D91" s="12" t="n"/>
      <c r="E91" s="12" t="n"/>
      <c r="F91" s="11" t="n"/>
      <c r="G91" s="11" t="n"/>
      <c r="H91" s="11" t="n"/>
      <c r="I91" s="12" t="n"/>
      <c r="J91" s="12" t="n"/>
      <c r="K91" s="11" t="n"/>
      <c r="L91" s="13" t="n"/>
      <c r="M91" s="13" t="n"/>
      <c r="N91" s="13" t="n"/>
    </row>
    <row r="92">
      <c r="A92" s="12" t="n"/>
      <c r="B92" s="12" t="n"/>
      <c r="C92" s="13" t="n"/>
      <c r="D92" s="12" t="n"/>
      <c r="E92" s="12" t="n"/>
      <c r="F92" s="11" t="n"/>
      <c r="G92" s="11" t="n"/>
      <c r="H92" s="11" t="n"/>
      <c r="I92" s="12" t="n"/>
      <c r="J92" s="12" t="n"/>
      <c r="K92" s="11" t="n"/>
      <c r="L92" s="13" t="n"/>
      <c r="M92" s="13" t="n"/>
      <c r="N92" s="13" t="n"/>
    </row>
    <row r="93">
      <c r="A93" s="12" t="n"/>
      <c r="B93" s="12" t="n"/>
      <c r="C93" s="13" t="n"/>
      <c r="D93" s="12" t="n"/>
      <c r="E93" s="12" t="n"/>
      <c r="F93" s="11" t="n"/>
      <c r="G93" s="11" t="n"/>
      <c r="H93" s="11" t="n"/>
      <c r="I93" s="12" t="n"/>
      <c r="J93" s="12" t="n"/>
      <c r="K93" s="11" t="n"/>
      <c r="L93" s="13" t="n"/>
      <c r="M93" s="13" t="n"/>
      <c r="N93" s="13" t="n"/>
    </row>
    <row r="94">
      <c r="A94" s="12" t="n"/>
      <c r="B94" s="12" t="n"/>
      <c r="C94" s="13" t="n"/>
      <c r="D94" s="12" t="n"/>
      <c r="E94" s="12" t="n"/>
      <c r="F94" s="11" t="n"/>
      <c r="G94" s="11" t="n"/>
      <c r="H94" s="11" t="n"/>
      <c r="I94" s="12" t="n"/>
      <c r="J94" s="12" t="n"/>
      <c r="K94" s="11" t="n"/>
      <c r="L94" s="13" t="n"/>
      <c r="M94" s="13" t="n"/>
      <c r="N94" s="13" t="n"/>
    </row>
    <row r="95">
      <c r="A95" s="12" t="n"/>
      <c r="B95" s="12" t="n"/>
      <c r="C95" s="13" t="n"/>
      <c r="D95" s="12" t="n"/>
      <c r="E95" s="12" t="n"/>
      <c r="F95" s="11" t="n"/>
      <c r="G95" s="11" t="n"/>
      <c r="H95" s="11" t="n"/>
      <c r="I95" s="12" t="n"/>
      <c r="J95" s="12" t="n"/>
      <c r="K95" s="11" t="n"/>
      <c r="L95" s="13" t="n"/>
      <c r="M95" s="13" t="n"/>
      <c r="N95" s="13" t="n"/>
    </row>
    <row r="96">
      <c r="A96" s="12" t="n"/>
      <c r="B96" s="12" t="n"/>
      <c r="C96" s="13" t="n"/>
      <c r="D96" s="12" t="n"/>
      <c r="E96" s="12" t="n"/>
      <c r="F96" s="11" t="n"/>
      <c r="G96" s="11" t="n"/>
      <c r="H96" s="11" t="n"/>
      <c r="I96" s="12" t="n"/>
      <c r="J96" s="12" t="n"/>
      <c r="K96" s="11" t="n"/>
      <c r="L96" s="13" t="n"/>
      <c r="M96" s="13" t="n"/>
      <c r="N96" s="13" t="n"/>
    </row>
    <row r="97">
      <c r="A97" s="12" t="n"/>
      <c r="B97" s="12" t="n"/>
      <c r="C97" s="13" t="n"/>
      <c r="D97" s="12" t="n"/>
      <c r="E97" s="12" t="n"/>
      <c r="F97" s="11" t="n"/>
      <c r="G97" s="11" t="n"/>
      <c r="H97" s="11" t="n"/>
      <c r="I97" s="12" t="n"/>
      <c r="J97" s="12" t="n"/>
      <c r="K97" s="11" t="n"/>
      <c r="L97" s="13" t="n"/>
      <c r="M97" s="13" t="n"/>
      <c r="N97" s="13" t="n"/>
    </row>
    <row r="98">
      <c r="A98" s="12" t="n"/>
      <c r="B98" s="12" t="n"/>
      <c r="C98" s="13" t="n"/>
      <c r="D98" s="12" t="n"/>
      <c r="E98" s="12" t="n"/>
      <c r="F98" s="11" t="n"/>
      <c r="G98" s="11" t="n"/>
      <c r="H98" s="11" t="n"/>
      <c r="I98" s="12" t="n"/>
      <c r="J98" s="12" t="n"/>
      <c r="K98" s="11" t="n"/>
      <c r="L98" s="13" t="n"/>
      <c r="M98" s="13" t="n"/>
      <c r="N98" s="13" t="n"/>
    </row>
    <row r="99">
      <c r="A99" s="12" t="n"/>
      <c r="B99" s="12" t="n"/>
      <c r="C99" s="13" t="n"/>
      <c r="D99" s="12" t="n"/>
      <c r="E99" s="12" t="n"/>
      <c r="F99" s="11" t="n"/>
      <c r="G99" s="11" t="n"/>
      <c r="H99" s="11" t="n"/>
      <c r="I99" s="12" t="n"/>
      <c r="J99" s="12" t="n"/>
      <c r="K99" s="11" t="n"/>
      <c r="L99" s="13" t="n"/>
      <c r="M99" s="13" t="n"/>
      <c r="N99" s="13" t="n"/>
    </row>
    <row r="100">
      <c r="A100" s="12" t="n"/>
      <c r="B100" s="12" t="n"/>
      <c r="C100" s="13" t="n"/>
      <c r="D100" s="12" t="n"/>
      <c r="E100" s="12" t="n"/>
      <c r="F100" s="11" t="n"/>
      <c r="G100" s="11" t="n"/>
      <c r="H100" s="11" t="n"/>
      <c r="I100" s="12" t="n"/>
      <c r="J100" s="12" t="n"/>
      <c r="K100" s="11" t="n"/>
      <c r="L100" s="13" t="n"/>
      <c r="M100" s="13" t="n"/>
      <c r="N100" s="13" t="n"/>
    </row>
    <row r="101">
      <c r="A101" s="12" t="n"/>
      <c r="B101" s="12" t="n"/>
      <c r="C101" s="13" t="n"/>
      <c r="D101" s="12" t="n"/>
      <c r="E101" s="12" t="n"/>
      <c r="F101" s="11" t="n"/>
      <c r="G101" s="11" t="n"/>
      <c r="H101" s="11" t="n"/>
      <c r="I101" s="12" t="n"/>
      <c r="J101" s="12" t="n"/>
      <c r="K101" s="11" t="n"/>
      <c r="L101" s="13" t="n"/>
      <c r="M101" s="13" t="n"/>
      <c r="N101" s="13" t="n"/>
    </row>
    <row r="102">
      <c r="A102" s="12" t="n"/>
      <c r="B102" s="12" t="n"/>
      <c r="C102" s="13" t="n"/>
      <c r="D102" s="12" t="n"/>
      <c r="E102" s="12" t="n"/>
      <c r="F102" s="11" t="n"/>
      <c r="G102" s="11" t="n"/>
      <c r="H102" s="11" t="n"/>
      <c r="I102" s="12" t="n"/>
      <c r="J102" s="12" t="n"/>
      <c r="K102" s="11" t="n"/>
      <c r="L102" s="13" t="n"/>
      <c r="M102" s="13" t="n"/>
      <c r="N102" s="13" t="n"/>
    </row>
    <row r="103">
      <c r="A103" s="12" t="n"/>
      <c r="B103" s="12" t="n"/>
      <c r="C103" s="13" t="n"/>
      <c r="D103" s="12" t="n"/>
      <c r="E103" s="12" t="n"/>
      <c r="F103" s="11" t="n"/>
      <c r="G103" s="11" t="n"/>
      <c r="H103" s="11" t="n"/>
      <c r="I103" s="12" t="n"/>
      <c r="J103" s="12" t="n"/>
      <c r="K103" s="11" t="n"/>
      <c r="L103" s="13" t="n"/>
      <c r="M103" s="13" t="n"/>
      <c r="N103" s="13" t="n"/>
    </row>
    <row r="104">
      <c r="A104" s="12" t="n"/>
      <c r="B104" s="12" t="n"/>
      <c r="C104" s="13" t="n"/>
      <c r="D104" s="12" t="n"/>
      <c r="E104" s="12" t="n"/>
      <c r="F104" s="11" t="n"/>
      <c r="G104" s="11" t="n"/>
      <c r="H104" s="11" t="n"/>
      <c r="I104" s="12" t="n"/>
      <c r="J104" s="12" t="n"/>
      <c r="K104" s="11" t="n"/>
      <c r="L104" s="13" t="n"/>
      <c r="M104" s="13" t="n"/>
      <c r="N104" s="13" t="n"/>
    </row>
  </sheetData>
  <autoFilter ref="A4:N104"/>
  <dataValidations count="1">
    <dataValidation sqref="I5:I104" showDropDown="0" showInputMessage="0" showErrorMessage="0" allowBlank="1" type="list">
      <formula1>"Not started,Submitted,Under review,Conditionally accepted,Reinspection due,Finally accepted,Rejected"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4" customHeight="1">
      <c r="A1" s="1" t="inlineStr">
        <is>
          <t>Quality Assurance KPI Dashboard</t>
        </is>
      </c>
    </row>
    <row r="2">
      <c r="A2" s="2" t="inlineStr">
        <is>
          <t>All values calculate from the registers. Enter the year in cell C4 to drive the monthly trend.</t>
        </is>
      </c>
    </row>
    <row r="4">
      <c r="B4" s="5" t="inlineStr">
        <is>
          <t>Reporting year</t>
        </is>
      </c>
      <c r="C4" s="25" t="n">
        <v>2026</v>
      </c>
    </row>
    <row r="6" ht="20" customHeight="1">
      <c r="A6" s="9" t="inlineStr">
        <is>
          <t>KPI</t>
        </is>
      </c>
      <c r="B6" s="9" t="inlineStr">
        <is>
          <t>Value</t>
        </is>
      </c>
    </row>
    <row r="7">
      <c r="A7" s="26" t="inlineStr">
        <is>
          <t>SOR raised (total recorded)</t>
        </is>
      </c>
      <c r="B7" s="27">
        <f>COUNTA('1. SOR Register'!$A$5:$A$204)</f>
        <v/>
      </c>
    </row>
    <row r="8">
      <c r="A8" s="28" t="inlineStr">
        <is>
          <t>SOR closed</t>
        </is>
      </c>
      <c r="B8" s="27">
        <f>COUNTIF('1. SOR Register'!$M$5:$M$204,"&gt;0")</f>
        <v/>
      </c>
    </row>
    <row r="9">
      <c r="A9" s="26" t="inlineStr">
        <is>
          <t>SOR open (including overdue)</t>
        </is>
      </c>
      <c r="B9" s="27">
        <f>B7-B8</f>
        <v/>
      </c>
    </row>
    <row r="10">
      <c r="A10" s="28" t="inlineStr">
        <is>
          <t>SOR overdue</t>
        </is>
      </c>
      <c r="B10" s="27">
        <f>COUNTIF('1. SOR Register'!$O$5:$O$204,"OVERDUE")</f>
        <v/>
      </c>
    </row>
    <row r="11">
      <c r="A11" s="26" t="inlineStr">
        <is>
          <t>SOR closure rate</t>
        </is>
      </c>
      <c r="B11" s="29">
        <f>IFERROR(B8/B7,"")</f>
        <v/>
      </c>
    </row>
    <row r="12">
      <c r="A12" s="28" t="inlineStr">
        <is>
          <t>SOR to NCR conversion rate</t>
        </is>
      </c>
      <c r="B12" s="29">
        <f>IFERROR(COUNTIF('1. SOR Register'!$R$5:$R$204,"Yes")/B7,"")</f>
        <v/>
      </c>
    </row>
    <row r="13">
      <c r="A13" s="26" t="inlineStr">
        <is>
          <t>Average SOR age of open items (days)</t>
        </is>
      </c>
      <c r="B13" s="30">
        <f>IFERROR(AVERAGEIF('1. SOR Register'!$M$5:$M$204,"",'1. SOR Register'!$N$5:$N$204),"")</f>
        <v/>
      </c>
    </row>
    <row r="14">
      <c r="A14" s="28" t="inlineStr">
        <is>
          <t>NCR raised (total recorded)</t>
        </is>
      </c>
      <c r="B14" s="27">
        <f>COUNTA('2. NCR Register'!$A$5:$A$204)</f>
        <v/>
      </c>
    </row>
    <row r="15">
      <c r="A15" s="26" t="inlineStr">
        <is>
          <t>NCR closed</t>
        </is>
      </c>
      <c r="B15" s="27">
        <f>COUNTIF('2. NCR Register'!$Y$5:$Y$204,"&gt;0")</f>
        <v/>
      </c>
    </row>
    <row r="16">
      <c r="A16" s="28" t="inlineStr">
        <is>
          <t>NCR open (including overdue)</t>
        </is>
      </c>
      <c r="B16" s="27">
        <f>B14-B15</f>
        <v/>
      </c>
    </row>
    <row r="17">
      <c r="A17" s="26" t="inlineStr">
        <is>
          <t>NCR overdue</t>
        </is>
      </c>
      <c r="B17" s="27">
        <f>COUNTIF('2. NCR Register'!$AA$5:$AA$204,"OVERDUE")</f>
        <v/>
      </c>
    </row>
    <row r="18">
      <c r="A18" s="28" t="inlineStr">
        <is>
          <t>NCR closure rate</t>
        </is>
      </c>
      <c r="B18" s="29">
        <f>IFERROR(B15/B14,"")</f>
        <v/>
      </c>
    </row>
    <row r="19">
      <c r="A19" s="26" t="inlineStr">
        <is>
          <t>Mean time to close NCR (days)</t>
        </is>
      </c>
      <c r="B19" s="30">
        <f>IFERROR(AVERAGEIF('2. NCR Register'!$Z$5:$Z$204,"&gt;0",'2. NCR Register'!$Z$5:$Z$204),"")</f>
        <v/>
      </c>
    </row>
    <row r="20">
      <c r="A20" s="28" t="inlineStr">
        <is>
          <t>NCR open more than 30 days</t>
        </is>
      </c>
      <c r="B20" s="27">
        <f>COUNTIFS('2. NCR Register'!$Y$5:$Y$204,"",'2. NCR Register'!$Z$5:$Z$204,"&gt;30")</f>
        <v/>
      </c>
    </row>
    <row r="21">
      <c r="A21" s="26" t="inlineStr">
        <is>
          <t>Repeat non-conformances (count)</t>
        </is>
      </c>
      <c r="B21" s="27">
        <f>COUNTIF('2. NCR Register'!$AH$5:$AH$204,"Yes")</f>
        <v/>
      </c>
    </row>
    <row r="22">
      <c r="A22" s="28" t="inlineStr">
        <is>
          <t>Repeat rate</t>
        </is>
      </c>
      <c r="B22" s="29">
        <f>IFERROR(B21/B15,"")</f>
        <v/>
      </c>
    </row>
    <row r="23">
      <c r="A23" s="26" t="inlineStr">
        <is>
          <t>Cost of non-conformance recorded (AED)</t>
        </is>
      </c>
      <c r="B23" s="31">
        <f>SUM('2. NCR Register'!$AD$5:$AD$204)</f>
        <v/>
      </c>
    </row>
    <row r="24">
      <c r="A24" s="28" t="inlineStr">
        <is>
          <t>Programme impact recorded (days)</t>
        </is>
      </c>
      <c r="B24" s="27">
        <f>SUM('2. NCR Register'!$AE$5:$AE$204)</f>
        <v/>
      </c>
    </row>
    <row r="25">
      <c r="A25" s="26" t="inlineStr">
        <is>
          <t>Authority-linked items raised</t>
        </is>
      </c>
      <c r="B25" s="27">
        <f>COUNTIF('2. NCR Register'!$AB$5:$AB$204,"Yes")</f>
        <v/>
      </c>
    </row>
    <row r="26">
      <c r="A26" s="28" t="inlineStr">
        <is>
          <t>Authority-linked items closed</t>
        </is>
      </c>
      <c r="B26" s="27">
        <f>COUNTIFS('2. NCR Register'!$AB$5:$AB$204,"Yes",'2. NCR Register'!$Y$5:$Y$204,"&gt;0")</f>
        <v/>
      </c>
    </row>
    <row r="27">
      <c r="A27" s="26" t="inlineStr">
        <is>
          <t>Authority-linked closure rate</t>
        </is>
      </c>
      <c r="B27" s="29">
        <f>IFERROR(B26/B25,"")</f>
        <v/>
      </c>
    </row>
    <row r="28">
      <c r="A28" s="28" t="inlineStr">
        <is>
          <t>Inspections accepted first time (enter manually)</t>
        </is>
      </c>
      <c r="B28" s="32" t="n"/>
    </row>
    <row r="29">
      <c r="A29" s="26" t="inlineStr">
        <is>
          <t>Inspections presented (enter manually)</t>
        </is>
      </c>
      <c r="B29" s="32" t="n"/>
    </row>
    <row r="30">
      <c r="A30" s="28" t="inlineStr">
        <is>
          <t>Inspection pass rate</t>
        </is>
      </c>
      <c r="B30" s="29">
        <f>IFERROR(B28/B29,"")</f>
        <v/>
      </c>
    </row>
    <row r="32">
      <c r="A32" s="5" t="inlineStr">
        <is>
          <t>Monthly trend - items raised and closed</t>
        </is>
      </c>
    </row>
    <row r="33" ht="20" customHeight="1">
      <c r="A33" s="9" t="inlineStr">
        <is>
          <t>Month</t>
        </is>
      </c>
      <c r="B33" s="9" t="inlineStr">
        <is>
          <t>NCR raised</t>
        </is>
      </c>
      <c r="C33" s="9" t="inlineStr">
        <is>
          <t>NCR closed</t>
        </is>
      </c>
      <c r="D33" s="9" t="inlineStr">
        <is>
          <t>SOR raised</t>
        </is>
      </c>
      <c r="E33" s="9" t="inlineStr">
        <is>
          <t>SOR closed</t>
        </is>
      </c>
    </row>
    <row r="34">
      <c r="A34" s="12">
        <f>TEXT(DATE($C$4,1,1),"mmm")</f>
        <v/>
      </c>
      <c r="B34" s="12">
        <f>COUNTIFS('2. NCR Register'!$B$5:$B$204,"&gt;="&amp;DATE($C$4,1,1),'2. NCR Register'!$B$5:$B$204,"&lt;"&amp;DATE($C$4,1+1,1))</f>
        <v/>
      </c>
      <c r="C34" s="12">
        <f>COUNTIFS('2. NCR Register'!$Y$5:$Y$204,"&gt;="&amp;DATE($C$4,1,1),'2. NCR Register'!$Y$5:$Y$204,"&lt;"&amp;DATE($C$4,1+1,1))</f>
        <v/>
      </c>
      <c r="D34" s="12">
        <f>COUNTIFS('1. SOR Register'!$B$5:$B$204,"&gt;="&amp;DATE($C$4,1,1),'1. SOR Register'!$B$5:$B$204,"&lt;"&amp;DATE($C$4,1+1,1))</f>
        <v/>
      </c>
      <c r="E34" s="12">
        <f>COUNTIFS('1. SOR Register'!$M$5:$M$204,"&gt;="&amp;DATE($C$4,1,1),'1. SOR Register'!$M$5:$M$204,"&lt;"&amp;DATE($C$4,1+1,1))</f>
        <v/>
      </c>
    </row>
    <row r="35">
      <c r="A35" s="12">
        <f>TEXT(DATE($C$4,2,1),"mmm")</f>
        <v/>
      </c>
      <c r="B35" s="12">
        <f>COUNTIFS('2. NCR Register'!$B$5:$B$204,"&gt;="&amp;DATE($C$4,2,1),'2. NCR Register'!$B$5:$B$204,"&lt;"&amp;DATE($C$4,2+1,1))</f>
        <v/>
      </c>
      <c r="C35" s="12">
        <f>COUNTIFS('2. NCR Register'!$Y$5:$Y$204,"&gt;="&amp;DATE($C$4,2,1),'2. NCR Register'!$Y$5:$Y$204,"&lt;"&amp;DATE($C$4,2+1,1))</f>
        <v/>
      </c>
      <c r="D35" s="12">
        <f>COUNTIFS('1. SOR Register'!$B$5:$B$204,"&gt;="&amp;DATE($C$4,2,1),'1. SOR Register'!$B$5:$B$204,"&lt;"&amp;DATE($C$4,2+1,1))</f>
        <v/>
      </c>
      <c r="E35" s="12">
        <f>COUNTIFS('1. SOR Register'!$M$5:$M$204,"&gt;="&amp;DATE($C$4,2,1),'1. SOR Register'!$M$5:$M$204,"&lt;"&amp;DATE($C$4,2+1,1))</f>
        <v/>
      </c>
    </row>
    <row r="36">
      <c r="A36" s="12">
        <f>TEXT(DATE($C$4,3,1),"mmm")</f>
        <v/>
      </c>
      <c r="B36" s="12">
        <f>COUNTIFS('2. NCR Register'!$B$5:$B$204,"&gt;="&amp;DATE($C$4,3,1),'2. NCR Register'!$B$5:$B$204,"&lt;"&amp;DATE($C$4,3+1,1))</f>
        <v/>
      </c>
      <c r="C36" s="12">
        <f>COUNTIFS('2. NCR Register'!$Y$5:$Y$204,"&gt;="&amp;DATE($C$4,3,1),'2. NCR Register'!$Y$5:$Y$204,"&lt;"&amp;DATE($C$4,3+1,1))</f>
        <v/>
      </c>
      <c r="D36" s="12">
        <f>COUNTIFS('1. SOR Register'!$B$5:$B$204,"&gt;="&amp;DATE($C$4,3,1),'1. SOR Register'!$B$5:$B$204,"&lt;"&amp;DATE($C$4,3+1,1))</f>
        <v/>
      </c>
      <c r="E36" s="12">
        <f>COUNTIFS('1. SOR Register'!$M$5:$M$204,"&gt;="&amp;DATE($C$4,3,1),'1. SOR Register'!$M$5:$M$204,"&lt;"&amp;DATE($C$4,3+1,1))</f>
        <v/>
      </c>
    </row>
    <row r="37">
      <c r="A37" s="12">
        <f>TEXT(DATE($C$4,4,1),"mmm")</f>
        <v/>
      </c>
      <c r="B37" s="12">
        <f>COUNTIFS('2. NCR Register'!$B$5:$B$204,"&gt;="&amp;DATE($C$4,4,1),'2. NCR Register'!$B$5:$B$204,"&lt;"&amp;DATE($C$4,4+1,1))</f>
        <v/>
      </c>
      <c r="C37" s="12">
        <f>COUNTIFS('2. NCR Register'!$Y$5:$Y$204,"&gt;="&amp;DATE($C$4,4,1),'2. NCR Register'!$Y$5:$Y$204,"&lt;"&amp;DATE($C$4,4+1,1))</f>
        <v/>
      </c>
      <c r="D37" s="12">
        <f>COUNTIFS('1. SOR Register'!$B$5:$B$204,"&gt;="&amp;DATE($C$4,4,1),'1. SOR Register'!$B$5:$B$204,"&lt;"&amp;DATE($C$4,4+1,1))</f>
        <v/>
      </c>
      <c r="E37" s="12">
        <f>COUNTIFS('1. SOR Register'!$M$5:$M$204,"&gt;="&amp;DATE($C$4,4,1),'1. SOR Register'!$M$5:$M$204,"&lt;"&amp;DATE($C$4,4+1,1))</f>
        <v/>
      </c>
    </row>
    <row r="38">
      <c r="A38" s="12">
        <f>TEXT(DATE($C$4,5,1),"mmm")</f>
        <v/>
      </c>
      <c r="B38" s="12">
        <f>COUNTIFS('2. NCR Register'!$B$5:$B$204,"&gt;="&amp;DATE($C$4,5,1),'2. NCR Register'!$B$5:$B$204,"&lt;"&amp;DATE($C$4,5+1,1))</f>
        <v/>
      </c>
      <c r="C38" s="12">
        <f>COUNTIFS('2. NCR Register'!$Y$5:$Y$204,"&gt;="&amp;DATE($C$4,5,1),'2. NCR Register'!$Y$5:$Y$204,"&lt;"&amp;DATE($C$4,5+1,1))</f>
        <v/>
      </c>
      <c r="D38" s="12">
        <f>COUNTIFS('1. SOR Register'!$B$5:$B$204,"&gt;="&amp;DATE($C$4,5,1),'1. SOR Register'!$B$5:$B$204,"&lt;"&amp;DATE($C$4,5+1,1))</f>
        <v/>
      </c>
      <c r="E38" s="12">
        <f>COUNTIFS('1. SOR Register'!$M$5:$M$204,"&gt;="&amp;DATE($C$4,5,1),'1. SOR Register'!$M$5:$M$204,"&lt;"&amp;DATE($C$4,5+1,1))</f>
        <v/>
      </c>
    </row>
    <row r="39">
      <c r="A39" s="12">
        <f>TEXT(DATE($C$4,6,1),"mmm")</f>
        <v/>
      </c>
      <c r="B39" s="12">
        <f>COUNTIFS('2. NCR Register'!$B$5:$B$204,"&gt;="&amp;DATE($C$4,6,1),'2. NCR Register'!$B$5:$B$204,"&lt;"&amp;DATE($C$4,6+1,1))</f>
        <v/>
      </c>
      <c r="C39" s="12">
        <f>COUNTIFS('2. NCR Register'!$Y$5:$Y$204,"&gt;="&amp;DATE($C$4,6,1),'2. NCR Register'!$Y$5:$Y$204,"&lt;"&amp;DATE($C$4,6+1,1))</f>
        <v/>
      </c>
      <c r="D39" s="12">
        <f>COUNTIFS('1. SOR Register'!$B$5:$B$204,"&gt;="&amp;DATE($C$4,6,1),'1. SOR Register'!$B$5:$B$204,"&lt;"&amp;DATE($C$4,6+1,1))</f>
        <v/>
      </c>
      <c r="E39" s="12">
        <f>COUNTIFS('1. SOR Register'!$M$5:$M$204,"&gt;="&amp;DATE($C$4,6,1),'1. SOR Register'!$M$5:$M$204,"&lt;"&amp;DATE($C$4,6+1,1))</f>
        <v/>
      </c>
    </row>
    <row r="40">
      <c r="A40" s="12">
        <f>TEXT(DATE($C$4,7,1),"mmm")</f>
        <v/>
      </c>
      <c r="B40" s="12">
        <f>COUNTIFS('2. NCR Register'!$B$5:$B$204,"&gt;="&amp;DATE($C$4,7,1),'2. NCR Register'!$B$5:$B$204,"&lt;"&amp;DATE($C$4,7+1,1))</f>
        <v/>
      </c>
      <c r="C40" s="12">
        <f>COUNTIFS('2. NCR Register'!$Y$5:$Y$204,"&gt;="&amp;DATE($C$4,7,1),'2. NCR Register'!$Y$5:$Y$204,"&lt;"&amp;DATE($C$4,7+1,1))</f>
        <v/>
      </c>
      <c r="D40" s="12">
        <f>COUNTIFS('1. SOR Register'!$B$5:$B$204,"&gt;="&amp;DATE($C$4,7,1),'1. SOR Register'!$B$5:$B$204,"&lt;"&amp;DATE($C$4,7+1,1))</f>
        <v/>
      </c>
      <c r="E40" s="12">
        <f>COUNTIFS('1. SOR Register'!$M$5:$M$204,"&gt;="&amp;DATE($C$4,7,1),'1. SOR Register'!$M$5:$M$204,"&lt;"&amp;DATE($C$4,7+1,1))</f>
        <v/>
      </c>
    </row>
    <row r="41">
      <c r="A41" s="12">
        <f>TEXT(DATE($C$4,8,1),"mmm")</f>
        <v/>
      </c>
      <c r="B41" s="12">
        <f>COUNTIFS('2. NCR Register'!$B$5:$B$204,"&gt;="&amp;DATE($C$4,8,1),'2. NCR Register'!$B$5:$B$204,"&lt;"&amp;DATE($C$4,8+1,1))</f>
        <v/>
      </c>
      <c r="C41" s="12">
        <f>COUNTIFS('2. NCR Register'!$Y$5:$Y$204,"&gt;="&amp;DATE($C$4,8,1),'2. NCR Register'!$Y$5:$Y$204,"&lt;"&amp;DATE($C$4,8+1,1))</f>
        <v/>
      </c>
      <c r="D41" s="12">
        <f>COUNTIFS('1. SOR Register'!$B$5:$B$204,"&gt;="&amp;DATE($C$4,8,1),'1. SOR Register'!$B$5:$B$204,"&lt;"&amp;DATE($C$4,8+1,1))</f>
        <v/>
      </c>
      <c r="E41" s="12">
        <f>COUNTIFS('1. SOR Register'!$M$5:$M$204,"&gt;="&amp;DATE($C$4,8,1),'1. SOR Register'!$M$5:$M$204,"&lt;"&amp;DATE($C$4,8+1,1))</f>
        <v/>
      </c>
    </row>
    <row r="42">
      <c r="A42" s="12">
        <f>TEXT(DATE($C$4,9,1),"mmm")</f>
        <v/>
      </c>
      <c r="B42" s="12">
        <f>COUNTIFS('2. NCR Register'!$B$5:$B$204,"&gt;="&amp;DATE($C$4,9,1),'2. NCR Register'!$B$5:$B$204,"&lt;"&amp;DATE($C$4,9+1,1))</f>
        <v/>
      </c>
      <c r="C42" s="12">
        <f>COUNTIFS('2. NCR Register'!$Y$5:$Y$204,"&gt;="&amp;DATE($C$4,9,1),'2. NCR Register'!$Y$5:$Y$204,"&lt;"&amp;DATE($C$4,9+1,1))</f>
        <v/>
      </c>
      <c r="D42" s="12">
        <f>COUNTIFS('1. SOR Register'!$B$5:$B$204,"&gt;="&amp;DATE($C$4,9,1),'1. SOR Register'!$B$5:$B$204,"&lt;"&amp;DATE($C$4,9+1,1))</f>
        <v/>
      </c>
      <c r="E42" s="12">
        <f>COUNTIFS('1. SOR Register'!$M$5:$M$204,"&gt;="&amp;DATE($C$4,9,1),'1. SOR Register'!$M$5:$M$204,"&lt;"&amp;DATE($C$4,9+1,1))</f>
        <v/>
      </c>
    </row>
    <row r="43">
      <c r="A43" s="12">
        <f>TEXT(DATE($C$4,10,1),"mmm")</f>
        <v/>
      </c>
      <c r="B43" s="12">
        <f>COUNTIFS('2. NCR Register'!$B$5:$B$204,"&gt;="&amp;DATE($C$4,10,1),'2. NCR Register'!$B$5:$B$204,"&lt;"&amp;DATE($C$4,10+1,1))</f>
        <v/>
      </c>
      <c r="C43" s="12">
        <f>COUNTIFS('2. NCR Register'!$Y$5:$Y$204,"&gt;="&amp;DATE($C$4,10,1),'2. NCR Register'!$Y$5:$Y$204,"&lt;"&amp;DATE($C$4,10+1,1))</f>
        <v/>
      </c>
      <c r="D43" s="12">
        <f>COUNTIFS('1. SOR Register'!$B$5:$B$204,"&gt;="&amp;DATE($C$4,10,1),'1. SOR Register'!$B$5:$B$204,"&lt;"&amp;DATE($C$4,10+1,1))</f>
        <v/>
      </c>
      <c r="E43" s="12">
        <f>COUNTIFS('1. SOR Register'!$M$5:$M$204,"&gt;="&amp;DATE($C$4,10,1),'1. SOR Register'!$M$5:$M$204,"&lt;"&amp;DATE($C$4,10+1,1))</f>
        <v/>
      </c>
    </row>
    <row r="44">
      <c r="A44" s="12">
        <f>TEXT(DATE($C$4,11,1),"mmm")</f>
        <v/>
      </c>
      <c r="B44" s="12">
        <f>COUNTIFS('2. NCR Register'!$B$5:$B$204,"&gt;="&amp;DATE($C$4,11,1),'2. NCR Register'!$B$5:$B$204,"&lt;"&amp;DATE($C$4,11+1,1))</f>
        <v/>
      </c>
      <c r="C44" s="12">
        <f>COUNTIFS('2. NCR Register'!$Y$5:$Y$204,"&gt;="&amp;DATE($C$4,11,1),'2. NCR Register'!$Y$5:$Y$204,"&lt;"&amp;DATE($C$4,11+1,1))</f>
        <v/>
      </c>
      <c r="D44" s="12">
        <f>COUNTIFS('1. SOR Register'!$B$5:$B$204,"&gt;="&amp;DATE($C$4,11,1),'1. SOR Register'!$B$5:$B$204,"&lt;"&amp;DATE($C$4,11+1,1))</f>
        <v/>
      </c>
      <c r="E44" s="12">
        <f>COUNTIFS('1. SOR Register'!$M$5:$M$204,"&gt;="&amp;DATE($C$4,11,1),'1. SOR Register'!$M$5:$M$204,"&lt;"&amp;DATE($C$4,11+1,1))</f>
        <v/>
      </c>
    </row>
    <row r="45">
      <c r="A45" s="12">
        <f>TEXT(DATE($C$4,12,1),"mmm")</f>
        <v/>
      </c>
      <c r="B45" s="12">
        <f>COUNTIFS('2. NCR Register'!$B$5:$B$204,"&gt;="&amp;DATE($C$4,12,1),'2. NCR Register'!$B$5:$B$204,"&lt;"&amp;DATE($C$4,12+1,1))</f>
        <v/>
      </c>
      <c r="C45" s="12">
        <f>COUNTIFS('2. NCR Register'!$Y$5:$Y$204,"&gt;="&amp;DATE($C$4,12,1),'2. NCR Register'!$Y$5:$Y$204,"&lt;"&amp;DATE($C$4,12+1,1))</f>
        <v/>
      </c>
      <c r="D45" s="12">
        <f>COUNTIFS('1. SOR Register'!$B$5:$B$204,"&gt;="&amp;DATE($C$4,12,1),'1. SOR Register'!$B$5:$B$204,"&lt;"&amp;DATE($C$4,12+1,1))</f>
        <v/>
      </c>
      <c r="E45" s="12">
        <f>COUNTIFS('1. SOR Register'!$M$5:$M$204,"&gt;="&amp;DATE($C$4,12,1),'1. SOR Register'!$M$5:$M$204,"&lt;"&amp;DATE($C$4,12+1,1))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6" customWidth="1" min="3" max="3"/>
    <col width="16" customWidth="1" min="4" max="4"/>
    <col width="15" customWidth="1" min="5" max="5"/>
    <col width="14" customWidth="1" min="6" max="6"/>
    <col width="16" customWidth="1" min="7" max="7"/>
    <col width="20" customWidth="1" min="8" max="8"/>
  </cols>
  <sheetData>
    <row r="1" ht="24" customHeight="1">
      <c r="A1" s="1" t="inlineStr">
        <is>
          <t>Roles and Responsibilities (RACI)</t>
        </is>
      </c>
    </row>
    <row r="2">
      <c r="A2" s="2" t="inlineStr">
        <is>
          <t>R responsible, A accountable, C consulted, I informed. Adapt to the project organisation.</t>
        </is>
      </c>
    </row>
    <row r="4" ht="30" customHeight="1">
      <c r="A4" s="9" t="inlineStr">
        <is>
          <t>Activity</t>
        </is>
      </c>
      <c r="B4" s="9" t="inlineStr">
        <is>
          <t>PMC inspector / engineer</t>
        </is>
      </c>
      <c r="C4" s="9" t="inlineStr">
        <is>
          <t>PMC Quality Manager</t>
        </is>
      </c>
      <c r="D4" s="9" t="inlineStr">
        <is>
          <t>PMC Resident Engineer</t>
        </is>
      </c>
      <c r="E4" s="9" t="inlineStr">
        <is>
          <t>PMC Project Director</t>
        </is>
      </c>
      <c r="F4" s="9" t="inlineStr">
        <is>
          <t>Contractor QA/QC</t>
        </is>
      </c>
      <c r="G4" s="9" t="inlineStr">
        <is>
          <t>Contractor Project Manager</t>
        </is>
      </c>
      <c r="H4" s="9" t="inlineStr">
        <is>
          <t>Client / Employer's Representative</t>
        </is>
      </c>
    </row>
    <row r="5">
      <c r="A5" s="13" t="inlineStr">
        <is>
          <t>Capture the observation and evidence</t>
        </is>
      </c>
      <c r="B5" s="33" t="inlineStr">
        <is>
          <t>R</t>
        </is>
      </c>
      <c r="C5" s="33" t="inlineStr">
        <is>
          <t>I</t>
        </is>
      </c>
      <c r="D5" s="33" t="inlineStr">
        <is>
          <t>I</t>
        </is>
      </c>
      <c r="E5" s="33" t="inlineStr">
        <is>
          <t>I</t>
        </is>
      </c>
      <c r="F5" s="33" t="inlineStr">
        <is>
          <t>C</t>
        </is>
      </c>
      <c r="G5" s="33" t="inlineStr">
        <is>
          <t>I</t>
        </is>
      </c>
      <c r="H5" s="33" t="inlineStr">
        <is>
          <t>I</t>
        </is>
      </c>
    </row>
    <row r="6">
      <c r="A6" s="22" t="inlineStr">
        <is>
          <t>Classify and triage the finding</t>
        </is>
      </c>
      <c r="B6" s="34" t="inlineStr">
        <is>
          <t>R</t>
        </is>
      </c>
      <c r="C6" s="34" t="inlineStr">
        <is>
          <t>A</t>
        </is>
      </c>
      <c r="D6" s="34" t="inlineStr">
        <is>
          <t>C</t>
        </is>
      </c>
      <c r="E6" s="34" t="inlineStr">
        <is>
          <t>I</t>
        </is>
      </c>
      <c r="F6" s="34" t="inlineStr">
        <is>
          <t>C</t>
        </is>
      </c>
      <c r="G6" s="34" t="inlineStr">
        <is>
          <t>I</t>
        </is>
      </c>
      <c r="H6" s="34" t="inlineStr">
        <is>
          <t>I</t>
        </is>
      </c>
    </row>
    <row r="7">
      <c r="A7" s="13" t="inlineStr">
        <is>
          <t>Issue the SOR</t>
        </is>
      </c>
      <c r="B7" s="33" t="inlineStr">
        <is>
          <t>R</t>
        </is>
      </c>
      <c r="C7" s="33" t="inlineStr">
        <is>
          <t>C</t>
        </is>
      </c>
      <c r="D7" s="33" t="inlineStr">
        <is>
          <t>I</t>
        </is>
      </c>
      <c r="E7" s="33" t="inlineStr">
        <is>
          <t>I</t>
        </is>
      </c>
      <c r="F7" s="33" t="inlineStr">
        <is>
          <t>I</t>
        </is>
      </c>
      <c r="G7" s="33" t="inlineStr">
        <is>
          <t>I</t>
        </is>
      </c>
      <c r="H7" s="33" t="inlineStr">
        <is>
          <t>I</t>
        </is>
      </c>
    </row>
    <row r="8">
      <c r="A8" s="22" t="inlineStr">
        <is>
          <t>Issue the NCR</t>
        </is>
      </c>
      <c r="B8" s="34" t="inlineStr">
        <is>
          <t>C</t>
        </is>
      </c>
      <c r="C8" s="34" t="inlineStr">
        <is>
          <t>A</t>
        </is>
      </c>
      <c r="D8" s="34" t="inlineStr">
        <is>
          <t>R</t>
        </is>
      </c>
      <c r="E8" s="34" t="inlineStr">
        <is>
          <t>I</t>
        </is>
      </c>
      <c r="F8" s="34" t="inlineStr">
        <is>
          <t>I</t>
        </is>
      </c>
      <c r="G8" s="34" t="inlineStr">
        <is>
          <t>I</t>
        </is>
      </c>
      <c r="H8" s="34" t="inlineStr">
        <is>
          <t>I</t>
        </is>
      </c>
    </row>
    <row r="9">
      <c r="A9" s="13" t="inlineStr">
        <is>
          <t>Approve the containment plan</t>
        </is>
      </c>
      <c r="B9" s="33" t="inlineStr">
        <is>
          <t>C</t>
        </is>
      </c>
      <c r="C9" s="33" t="inlineStr">
        <is>
          <t>C</t>
        </is>
      </c>
      <c r="D9" s="33" t="inlineStr">
        <is>
          <t>A</t>
        </is>
      </c>
      <c r="E9" s="33" t="inlineStr">
        <is>
          <t>I</t>
        </is>
      </c>
      <c r="F9" s="33" t="inlineStr">
        <is>
          <t>R</t>
        </is>
      </c>
      <c r="G9" s="33" t="inlineStr">
        <is>
          <t>C</t>
        </is>
      </c>
      <c r="H9" s="33" t="inlineStr">
        <is>
          <t>I</t>
        </is>
      </c>
    </row>
    <row r="10">
      <c r="A10" s="22" t="inlineStr">
        <is>
          <t>Accept the root cause and CAPA</t>
        </is>
      </c>
      <c r="B10" s="34" t="inlineStr">
        <is>
          <t>C</t>
        </is>
      </c>
      <c r="C10" s="34" t="inlineStr">
        <is>
          <t>A</t>
        </is>
      </c>
      <c r="D10" s="34" t="inlineStr">
        <is>
          <t>C</t>
        </is>
      </c>
      <c r="E10" s="34" t="inlineStr">
        <is>
          <t>I</t>
        </is>
      </c>
      <c r="F10" s="34" t="inlineStr">
        <is>
          <t>R</t>
        </is>
      </c>
      <c r="G10" s="34" t="inlineStr">
        <is>
          <t>C</t>
        </is>
      </c>
      <c r="H10" s="34" t="inlineStr">
        <is>
          <t>I</t>
        </is>
      </c>
    </row>
    <row r="11">
      <c r="A11" s="13" t="inlineStr">
        <is>
          <t>Verify rectification and witness tests</t>
        </is>
      </c>
      <c r="B11" s="33" t="inlineStr">
        <is>
          <t>R</t>
        </is>
      </c>
      <c r="C11" s="33" t="inlineStr">
        <is>
          <t>C</t>
        </is>
      </c>
      <c r="D11" s="33" t="inlineStr">
        <is>
          <t>A</t>
        </is>
      </c>
      <c r="E11" s="33" t="inlineStr">
        <is>
          <t>I</t>
        </is>
      </c>
      <c r="F11" s="33" t="inlineStr">
        <is>
          <t>C</t>
        </is>
      </c>
      <c r="G11" s="33" t="inlineStr">
        <is>
          <t>I</t>
        </is>
      </c>
      <c r="H11" s="33" t="inlineStr">
        <is>
          <t>C</t>
        </is>
      </c>
    </row>
    <row r="12">
      <c r="A12" s="22" t="inlineStr">
        <is>
          <t>Sign the closure certificate</t>
        </is>
      </c>
      <c r="B12" s="34" t="inlineStr">
        <is>
          <t>C</t>
        </is>
      </c>
      <c r="C12" s="34" t="inlineStr">
        <is>
          <t>R</t>
        </is>
      </c>
      <c r="D12" s="34" t="inlineStr">
        <is>
          <t>A</t>
        </is>
      </c>
      <c r="E12" s="34" t="inlineStr">
        <is>
          <t>I</t>
        </is>
      </c>
      <c r="F12" s="34" t="inlineStr">
        <is>
          <t>R</t>
        </is>
      </c>
      <c r="G12" s="34" t="inlineStr">
        <is>
          <t>C</t>
        </is>
      </c>
      <c r="H12" s="34" t="inlineStr">
        <is>
          <t>C</t>
        </is>
      </c>
    </row>
    <row r="13">
      <c r="A13" s="13" t="inlineStr">
        <is>
          <t>Maintain the register</t>
        </is>
      </c>
      <c r="B13" s="33" t="inlineStr">
        <is>
          <t>C</t>
        </is>
      </c>
      <c r="C13" s="33" t="inlineStr">
        <is>
          <t>A</t>
        </is>
      </c>
      <c r="D13" s="33" t="inlineStr">
        <is>
          <t>I</t>
        </is>
      </c>
      <c r="E13" s="33" t="inlineStr">
        <is>
          <t>I</t>
        </is>
      </c>
      <c r="F13" s="33" t="inlineStr">
        <is>
          <t>R</t>
        </is>
      </c>
      <c r="G13" s="33" t="inlineStr">
        <is>
          <t>I</t>
        </is>
      </c>
      <c r="H13" s="33" t="inlineStr">
        <is>
          <t>I</t>
        </is>
      </c>
    </row>
    <row r="14">
      <c r="A14" s="22" t="inlineStr">
        <is>
          <t>Escalate overdue items</t>
        </is>
      </c>
      <c r="B14" s="34" t="inlineStr">
        <is>
          <t>C</t>
        </is>
      </c>
      <c r="C14" s="34" t="inlineStr">
        <is>
          <t>R</t>
        </is>
      </c>
      <c r="D14" s="34" t="inlineStr">
        <is>
          <t>A</t>
        </is>
      </c>
      <c r="E14" s="34" t="inlineStr">
        <is>
          <t>C</t>
        </is>
      </c>
      <c r="F14" s="34" t="inlineStr">
        <is>
          <t>C</t>
        </is>
      </c>
      <c r="G14" s="34" t="inlineStr">
        <is>
          <t>C</t>
        </is>
      </c>
      <c r="H14" s="34" t="inlineStr">
        <is>
          <t>I</t>
        </is>
      </c>
    </row>
    <row r="15">
      <c r="A15" s="13" t="inlineStr">
        <is>
          <t>Issue contractual notices</t>
        </is>
      </c>
      <c r="B15" s="33" t="inlineStr">
        <is>
          <t>I</t>
        </is>
      </c>
      <c r="C15" s="33" t="inlineStr">
        <is>
          <t>C</t>
        </is>
      </c>
      <c r="D15" s="33" t="inlineStr">
        <is>
          <t>R</t>
        </is>
      </c>
      <c r="E15" s="33" t="inlineStr">
        <is>
          <t>A</t>
        </is>
      </c>
      <c r="F15" s="33" t="inlineStr">
        <is>
          <t>I</t>
        </is>
      </c>
      <c r="G15" s="33" t="inlineStr">
        <is>
          <t>C</t>
        </is>
      </c>
      <c r="H15" s="33" t="inlineStr">
        <is>
          <t>C</t>
        </is>
      </c>
    </row>
    <row r="16">
      <c r="A16" s="22" t="inlineStr">
        <is>
          <t>Produce the monthly assurance pack</t>
        </is>
      </c>
      <c r="B16" s="34" t="inlineStr">
        <is>
          <t>C</t>
        </is>
      </c>
      <c r="C16" s="34" t="inlineStr">
        <is>
          <t>R</t>
        </is>
      </c>
      <c r="D16" s="34" t="inlineStr">
        <is>
          <t>A</t>
        </is>
      </c>
      <c r="E16" s="34" t="inlineStr">
        <is>
          <t>A</t>
        </is>
      </c>
      <c r="F16" s="34" t="inlineStr">
        <is>
          <t>C</t>
        </is>
      </c>
      <c r="G16" s="34" t="inlineStr">
        <is>
          <t>I</t>
        </is>
      </c>
      <c r="H16" s="34" t="inlineStr">
        <is>
          <t>I</t>
        </is>
      </c>
    </row>
    <row r="17">
      <c r="A17" s="13" t="inlineStr">
        <is>
          <t>Close authority-linked items</t>
        </is>
      </c>
      <c r="B17" s="33" t="inlineStr">
        <is>
          <t>R</t>
        </is>
      </c>
      <c r="C17" s="33" t="inlineStr">
        <is>
          <t>C</t>
        </is>
      </c>
      <c r="D17" s="33" t="inlineStr">
        <is>
          <t>A</t>
        </is>
      </c>
      <c r="E17" s="33" t="inlineStr">
        <is>
          <t>I</t>
        </is>
      </c>
      <c r="F17" s="33" t="inlineStr">
        <is>
          <t>R</t>
        </is>
      </c>
      <c r="G17" s="33" t="inlineStr">
        <is>
          <t>C</t>
        </is>
      </c>
      <c r="H17" s="33" t="inlineStr">
        <is>
          <t>I</t>
        </is>
      </c>
    </row>
    <row r="18">
      <c r="A18" s="22" t="inlineStr">
        <is>
          <t>Handover dossier and open item schedule</t>
        </is>
      </c>
      <c r="B18" s="34" t="inlineStr">
        <is>
          <t>C</t>
        </is>
      </c>
      <c r="C18" s="34" t="inlineStr">
        <is>
          <t>R</t>
        </is>
      </c>
      <c r="D18" s="34" t="inlineStr">
        <is>
          <t>A</t>
        </is>
      </c>
      <c r="E18" s="34" t="inlineStr">
        <is>
          <t>A</t>
        </is>
      </c>
      <c r="F18" s="34" t="inlineStr">
        <is>
          <t>R</t>
        </is>
      </c>
      <c r="G18" s="34" t="inlineStr">
        <is>
          <t>C</t>
        </is>
      </c>
      <c r="H18" s="34" t="inlineStr">
        <is>
          <t>C</t>
        </is>
      </c>
    </row>
    <row r="19">
      <c r="A19" s="13" t="inlineStr">
        <is>
          <t>Defects register after taking-over</t>
        </is>
      </c>
      <c r="B19" s="33" t="inlineStr">
        <is>
          <t>R</t>
        </is>
      </c>
      <c r="C19" s="33" t="inlineStr">
        <is>
          <t>A</t>
        </is>
      </c>
      <c r="D19" s="33" t="inlineStr">
        <is>
          <t>C</t>
        </is>
      </c>
      <c r="E19" s="33" t="inlineStr">
        <is>
          <t>I</t>
        </is>
      </c>
      <c r="F19" s="33" t="inlineStr">
        <is>
          <t>R</t>
        </is>
      </c>
      <c r="G19" s="33" t="inlineStr">
        <is>
          <t>C</t>
        </is>
      </c>
      <c r="H19" s="33" t="inlineStr">
        <is>
          <t>C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SITE OBSERVATION REPORT (SOR)</t>
        </is>
      </c>
    </row>
    <row r="2">
      <c r="A2" s="2" t="inlineStr">
        <is>
          <t>Project header loads automatically from the Dashboard sheet.</t>
        </is>
      </c>
    </row>
    <row r="4">
      <c r="A4" s="35" t="inlineStr">
        <is>
          <t>Project</t>
        </is>
      </c>
      <c r="B4" s="36">
        <f>'0. Dashboard'!$B$4</f>
        <v/>
      </c>
    </row>
    <row r="5">
      <c r="A5" s="35" t="inlineStr">
        <is>
          <t>Project / contract number</t>
        </is>
      </c>
      <c r="B5" s="36">
        <f>'0. Dashboard'!$B$5</f>
        <v/>
      </c>
    </row>
    <row r="6">
      <c r="A6" s="35" t="inlineStr">
        <is>
          <t>Location and emirate</t>
        </is>
      </c>
      <c r="B6" s="36">
        <f>'0. Dashboard'!$B$6</f>
        <v/>
      </c>
    </row>
    <row r="7">
      <c r="A7" s="35" t="inlineStr">
        <is>
          <t>Employer / client</t>
        </is>
      </c>
      <c r="B7" s="36">
        <f>'0. Dashboard'!$B$8</f>
        <v/>
      </c>
    </row>
    <row r="8">
      <c r="A8" s="35" t="inlineStr">
        <is>
          <t>PMC / consultant</t>
        </is>
      </c>
      <c r="B8" s="36">
        <f>'0. Dashboard'!$B$12</f>
        <v/>
      </c>
    </row>
    <row r="9">
      <c r="A9" s="35" t="inlineStr">
        <is>
          <t>Main contractor</t>
        </is>
      </c>
      <c r="B9" s="36">
        <f>'0. Dashboard'!$B$10</f>
        <v/>
      </c>
    </row>
    <row r="11" ht="18" customHeight="1">
      <c r="A11" s="3" t="inlineStr">
        <is>
          <t>SOR number</t>
        </is>
      </c>
      <c r="B11" s="4" t="inlineStr"/>
    </row>
    <row r="12" ht="18" customHeight="1">
      <c r="A12" s="3" t="inlineStr">
        <is>
          <t>Date and time of observation</t>
        </is>
      </c>
      <c r="B12" s="4" t="inlineStr"/>
    </row>
    <row r="13" ht="18" customHeight="1">
      <c r="A13" s="3" t="inlineStr">
        <is>
          <t>Discipline</t>
        </is>
      </c>
      <c r="B13" s="4" t="inlineStr"/>
    </row>
    <row r="14" ht="18" customHeight="1">
      <c r="A14" s="3" t="inlineStr">
        <is>
          <t>Package / area</t>
        </is>
      </c>
      <c r="B14" s="4" t="inlineStr"/>
    </row>
    <row r="15" ht="18" customHeight="1">
      <c r="A15" s="3" t="inlineStr">
        <is>
          <t>Exact location (level, grid, room)</t>
        </is>
      </c>
      <c r="B15" s="4" t="inlineStr"/>
    </row>
    <row r="16" ht="18" customHeight="1">
      <c r="A16" s="3" t="inlineStr">
        <is>
          <t>Drawing number and revision</t>
        </is>
      </c>
      <c r="B16" s="4" t="inlineStr"/>
    </row>
    <row r="17" ht="18" customHeight="1">
      <c r="A17" s="3" t="inlineStr">
        <is>
          <t>Requirement reference (specification / ITP / code)</t>
        </is>
      </c>
      <c r="B17" s="4" t="inlineStr"/>
    </row>
    <row r="18" ht="30" customHeight="1">
      <c r="A18" s="3" t="inlineStr">
        <is>
          <t>Description of the observation</t>
        </is>
      </c>
      <c r="B18" s="4" t="inlineStr"/>
    </row>
    <row r="19" ht="18" customHeight="1">
      <c r="A19" s="3" t="inlineStr">
        <is>
          <t>Required action</t>
        </is>
      </c>
      <c r="B19" s="4" t="inlineStr"/>
    </row>
    <row r="20" ht="18" customHeight="1">
      <c r="A20" s="3" t="inlineStr">
        <is>
          <t>Risk if not corrected</t>
        </is>
      </c>
      <c r="B20" s="4" t="inlineStr"/>
    </row>
    <row r="21" ht="18" customHeight="1">
      <c r="A21" s="3" t="inlineStr">
        <is>
          <t>Responsible party</t>
        </is>
      </c>
      <c r="B21" s="4" t="inlineStr"/>
    </row>
    <row r="22" ht="18" customHeight="1">
      <c r="A22" s="3" t="inlineStr">
        <is>
          <t>Due date</t>
        </is>
      </c>
      <c r="B22" s="4" t="inlineStr"/>
    </row>
    <row r="23" ht="18" customHeight="1">
      <c r="A23" s="3" t="inlineStr">
        <is>
          <t>Evidence reference (photograph / measurement)</t>
        </is>
      </c>
      <c r="B23" s="4" t="inlineStr"/>
    </row>
    <row r="24" ht="30" customHeight="1">
      <c r="A24" s="3" t="inlineStr">
        <is>
          <t>Closure description and evidence reference</t>
        </is>
      </c>
      <c r="B24" s="4" t="inlineStr"/>
    </row>
    <row r="25" ht="30" customHeight="1">
      <c r="A25" s="3" t="inlineStr">
        <is>
          <t>Closure date</t>
        </is>
      </c>
      <c r="B25" s="4" t="inlineStr"/>
    </row>
    <row r="26" ht="18" customHeight="1">
      <c r="A26" s="3" t="inlineStr">
        <is>
          <t>Closed and verified by</t>
        </is>
      </c>
      <c r="B26" s="4" t="inlineStr"/>
    </row>
    <row r="27" ht="18" customHeight="1">
      <c r="A27" s="3" t="inlineStr">
        <is>
          <t>Status</t>
        </is>
      </c>
      <c r="B27" s="4" t="inlineStr"/>
    </row>
    <row r="28" ht="18" customHeight="1">
      <c r="A28" s="3" t="inlineStr">
        <is>
          <t>Converted to NCR (Y/N and NCR number)</t>
        </is>
      </c>
      <c r="B28" s="4" t="inlineStr"/>
    </row>
    <row r="29" ht="18" customHeight="1">
      <c r="A29" s="3" t="inlineStr">
        <is>
          <t>Signed - PMC inspector</t>
        </is>
      </c>
      <c r="B29" s="4" t="inlineStr"/>
    </row>
    <row r="30" ht="18" customHeight="1">
      <c r="A30" s="3" t="inlineStr">
        <is>
          <t>Signed - contractor representative</t>
        </is>
      </c>
      <c r="B30" s="4" t="inlineStr"/>
    </row>
  </sheetData>
  <pageMargins left="0.75" right="0.75" top="1" bottom="1" header="0.5" footer="0.5"/>
  <pageSetup orientation="portrait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6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68" customWidth="1" min="2" max="2"/>
  </cols>
  <sheetData>
    <row r="1">
      <c r="A1" s="1" t="inlineStr">
        <is>
          <t>NON-CONFORMANCE REPORT (NCR)</t>
        </is>
      </c>
    </row>
    <row r="2">
      <c r="A2" s="2" t="inlineStr">
        <is>
          <t>Project header loads automatically from the Dashboard sheet.</t>
        </is>
      </c>
    </row>
    <row r="4">
      <c r="A4" s="35" t="inlineStr">
        <is>
          <t>Project</t>
        </is>
      </c>
      <c r="B4" s="36">
        <f>'0. Dashboard'!$B$4</f>
        <v/>
      </c>
    </row>
    <row r="5">
      <c r="A5" s="35" t="inlineStr">
        <is>
          <t>Project / contract number</t>
        </is>
      </c>
      <c r="B5" s="36">
        <f>'0. Dashboard'!$B$5</f>
        <v/>
      </c>
    </row>
    <row r="6">
      <c r="A6" s="35" t="inlineStr">
        <is>
          <t>Employer / client</t>
        </is>
      </c>
      <c r="B6" s="36">
        <f>'0. Dashboard'!$B$8</f>
        <v/>
      </c>
    </row>
    <row r="7">
      <c r="A7" s="35" t="inlineStr">
        <is>
          <t>PMC / consultant</t>
        </is>
      </c>
      <c r="B7" s="36">
        <f>'0. Dashboard'!$B$12</f>
        <v/>
      </c>
    </row>
    <row r="8">
      <c r="A8" s="35" t="inlineStr">
        <is>
          <t>Main contractor</t>
        </is>
      </c>
      <c r="B8" s="36">
        <f>'0. Dashboard'!$B$10</f>
        <v/>
      </c>
    </row>
    <row r="9">
      <c r="A9" s="35" t="inlineStr">
        <is>
          <t>Contract form and edition</t>
        </is>
      </c>
      <c r="B9" s="36">
        <f>'0. Dashboard'!$B$16</f>
        <v/>
      </c>
    </row>
    <row r="11">
      <c r="A11" s="37" t="inlineStr">
        <is>
          <t>Part 1 - Raised by the PMC</t>
        </is>
      </c>
    </row>
    <row r="12" ht="18" customHeight="1">
      <c r="A12" s="3" t="inlineStr">
        <is>
          <t>NCR number</t>
        </is>
      </c>
      <c r="B12" s="4" t="inlineStr"/>
    </row>
    <row r="13" ht="18" customHeight="1">
      <c r="A13" s="3" t="inlineStr">
        <is>
          <t>Date raised</t>
        </is>
      </c>
      <c r="B13" s="4" t="inlineStr"/>
    </row>
    <row r="14" ht="18" customHeight="1">
      <c r="A14" s="3" t="inlineStr">
        <is>
          <t>Raised by</t>
        </is>
      </c>
      <c r="B14" s="4" t="inlineStr"/>
    </row>
    <row r="15" ht="18" customHeight="1">
      <c r="A15" s="3" t="inlineStr">
        <is>
          <t>Reviewed and issued by</t>
        </is>
      </c>
      <c r="B15" s="4" t="inlineStr"/>
    </row>
    <row r="16" ht="18" customHeight="1">
      <c r="A16" s="3" t="inlineStr">
        <is>
          <t>Class (Minor / Major / Systemic / Documentation)</t>
        </is>
      </c>
      <c r="B16" s="4" t="inlineStr"/>
    </row>
    <row r="17" ht="18" customHeight="1">
      <c r="A17" s="3" t="inlineStr">
        <is>
          <t>Discipline</t>
        </is>
      </c>
      <c r="B17" s="4" t="inlineStr"/>
    </row>
    <row r="18" ht="18" customHeight="1">
      <c r="A18" s="3" t="inlineStr">
        <is>
          <t>Package / area and exact location</t>
        </is>
      </c>
      <c r="B18" s="4" t="inlineStr"/>
    </row>
    <row r="19" ht="18" customHeight="1">
      <c r="A19" s="3" t="inlineStr">
        <is>
          <t>Drawing number and revision</t>
        </is>
      </c>
      <c r="B19" s="4" t="inlineStr"/>
    </row>
    <row r="20" ht="18" customHeight="1">
      <c r="A20" s="3" t="inlineStr">
        <is>
          <t>Requirement breached (clause / ITP hold point / code)</t>
        </is>
      </c>
      <c r="B20" s="4" t="inlineStr"/>
    </row>
    <row r="21" ht="34" customHeight="1">
      <c r="A21" s="3" t="inlineStr">
        <is>
          <t>Description of the non-conformance</t>
        </is>
      </c>
      <c r="B21" s="4" t="inlineStr"/>
    </row>
    <row r="22" ht="18" customHeight="1">
      <c r="A22" s="3" t="inlineStr">
        <is>
          <t>Evidence of non-compliance attached</t>
        </is>
      </c>
      <c r="B22" s="4" t="inlineStr"/>
    </row>
    <row r="23" ht="18" customHeight="1">
      <c r="A23" s="3" t="inlineStr">
        <is>
          <t>Extent and quantity affected</t>
        </is>
      </c>
      <c r="B23" s="4" t="inlineStr"/>
    </row>
    <row r="24" ht="34" customHeight="1">
      <c r="A24" s="3" t="inlineStr">
        <is>
          <t>Containment required or applied</t>
        </is>
      </c>
      <c r="B24" s="4" t="inlineStr"/>
    </row>
    <row r="25" ht="34" customHeight="1">
      <c r="A25" s="3" t="inlineStr">
        <is>
          <t>Effect on safety, structure, statutory approval, programme and cost</t>
        </is>
      </c>
      <c r="B25" s="4" t="inlineStr"/>
    </row>
    <row r="26" ht="18" customHeight="1">
      <c r="A26" s="3" t="inlineStr">
        <is>
          <t>Response required by</t>
        </is>
      </c>
      <c r="B26" s="4" t="inlineStr"/>
    </row>
    <row r="27">
      <c r="A27" s="37" t="inlineStr">
        <is>
          <t>Part 2 - Contractor response</t>
        </is>
      </c>
    </row>
    <row r="28" ht="18" customHeight="1">
      <c r="A28" s="3" t="inlineStr">
        <is>
          <t>Acknowledged by and date</t>
        </is>
      </c>
      <c r="B28" s="4" t="inlineStr"/>
    </row>
    <row r="29" ht="34" customHeight="1">
      <c r="A29" s="3" t="inlineStr">
        <is>
          <t>Containment action and evidence</t>
        </is>
      </c>
      <c r="B29" s="4" t="inlineStr"/>
    </row>
    <row r="30" ht="34" customHeight="1">
      <c r="A30" s="3" t="inlineStr">
        <is>
          <t>Root cause analysis (five why summary)</t>
        </is>
      </c>
      <c r="B30" s="4" t="inlineStr"/>
    </row>
    <row r="31" ht="34" customHeight="1">
      <c r="A31" s="3" t="inlineStr">
        <is>
          <t>Corrective action with owner and date</t>
        </is>
      </c>
      <c r="B31" s="4" t="inlineStr"/>
    </row>
    <row r="32" ht="34" customHeight="1">
      <c r="A32" s="3" t="inlineStr">
        <is>
          <t>Preventive action with owner and date</t>
        </is>
      </c>
      <c r="B32" s="4" t="inlineStr"/>
    </row>
    <row r="33" ht="18" customHeight="1">
      <c r="A33" s="3" t="inlineStr">
        <is>
          <t>Proposed verification method</t>
        </is>
      </c>
      <c r="B33" s="4" t="inlineStr"/>
    </row>
    <row r="34" ht="18" customHeight="1">
      <c r="A34" s="3" t="inlineStr">
        <is>
          <t>Programme impact and revised dates</t>
        </is>
      </c>
      <c r="B34" s="4" t="inlineStr"/>
    </row>
    <row r="35" ht="18" customHeight="1">
      <c r="A35" s="3" t="inlineStr">
        <is>
          <t>Signed - contractor QA/QC manager</t>
        </is>
      </c>
      <c r="B35" s="4" t="inlineStr"/>
    </row>
    <row r="36" ht="18" customHeight="1">
      <c r="A36" s="3" t="inlineStr">
        <is>
          <t>Signed - contractor project manager</t>
        </is>
      </c>
      <c r="B36" s="4" t="inlineStr"/>
    </row>
    <row r="37">
      <c r="A37" s="37" t="inlineStr">
        <is>
          <t>Part 3 - PMC verification</t>
        </is>
      </c>
    </row>
    <row r="38" ht="18" customHeight="1">
      <c r="A38" s="3" t="inlineStr">
        <is>
          <t>Acceptance criteria</t>
        </is>
      </c>
      <c r="B38" s="4" t="inlineStr"/>
    </row>
    <row r="39" ht="18" customHeight="1">
      <c r="A39" s="3" t="inlineStr">
        <is>
          <t>Verification method</t>
        </is>
      </c>
      <c r="B39" s="4" t="inlineStr"/>
    </row>
    <row r="40" ht="18" customHeight="1">
      <c r="A40" s="3" t="inlineStr">
        <is>
          <t>Verification date and result</t>
        </is>
      </c>
      <c r="B40" s="4" t="inlineStr"/>
    </row>
    <row r="41" ht="18" customHeight="1">
      <c r="A41" s="3" t="inlineStr">
        <is>
          <t>Test or inspection record reference</t>
        </is>
      </c>
      <c r="B41" s="4" t="inlineStr"/>
    </row>
    <row r="42" ht="18" customHeight="1">
      <c r="A42" s="3" t="inlineStr">
        <is>
          <t>Instrument and calibration reference</t>
        </is>
      </c>
      <c r="B42" s="4" t="inlineStr"/>
    </row>
    <row r="43" ht="18" customHeight="1">
      <c r="A43" s="3" t="inlineStr">
        <is>
          <t>Witnesses present (client / authority)</t>
        </is>
      </c>
      <c r="B43" s="4" t="inlineStr"/>
    </row>
    <row r="44" ht="18" customHeight="1">
      <c r="A44" s="3" t="inlineStr">
        <is>
          <t>Verified by</t>
        </is>
      </c>
      <c r="B44" s="4" t="inlineStr"/>
    </row>
    <row r="45" ht="18" customHeight="1">
      <c r="A45" s="3" t="inlineStr">
        <is>
          <t>Outstanding items, if any</t>
        </is>
      </c>
      <c r="B45" s="4" t="inlineStr"/>
    </row>
    <row r="46">
      <c r="A46" s="37" t="inlineStr">
        <is>
          <t>Part 4 - Closure</t>
        </is>
      </c>
    </row>
    <row r="47" ht="34" customHeight="1">
      <c r="A47" s="3" t="inlineStr">
        <is>
          <t>Closure statement</t>
        </is>
      </c>
      <c r="B47" s="4" t="inlineStr"/>
    </row>
    <row r="48" ht="34" customHeight="1">
      <c r="A48" s="3" t="inlineStr">
        <is>
          <t>Preventive action verified</t>
        </is>
      </c>
      <c r="B48" s="4" t="inlineStr"/>
    </row>
    <row r="49" ht="18" customHeight="1">
      <c r="A49" s="3" t="inlineStr">
        <is>
          <t>Residual conditions with owner and date</t>
        </is>
      </c>
      <c r="B49" s="4" t="inlineStr"/>
    </row>
    <row r="50" ht="18" customHeight="1">
      <c r="A50" s="3" t="inlineStr">
        <is>
          <t>Closure date</t>
        </is>
      </c>
      <c r="B50" s="4" t="inlineStr"/>
    </row>
    <row r="51" ht="18" customHeight="1">
      <c r="A51" s="3" t="inlineStr">
        <is>
          <t>Evidence index reference</t>
        </is>
      </c>
      <c r="B51" s="4" t="inlineStr"/>
    </row>
    <row r="52" ht="18" customHeight="1">
      <c r="A52" s="3" t="inlineStr">
        <is>
          <t>Signed - contractor QA/QC manager</t>
        </is>
      </c>
      <c r="B52" s="4" t="inlineStr"/>
    </row>
    <row r="53" ht="18" customHeight="1">
      <c r="A53" s="3" t="inlineStr">
        <is>
          <t>Signed - PMC verifier</t>
        </is>
      </c>
      <c r="B53" s="4" t="inlineStr"/>
    </row>
    <row r="54" ht="18" customHeight="1">
      <c r="A54" s="3" t="inlineStr">
        <is>
          <t>Signed - PMC Quality Manager</t>
        </is>
      </c>
      <c r="B54" s="4" t="inlineStr"/>
    </row>
    <row r="55" ht="18" customHeight="1">
      <c r="A55" s="3" t="inlineStr">
        <is>
          <t>Signed - client representative (where required)</t>
        </is>
      </c>
      <c r="B55" s="4" t="inlineStr"/>
    </row>
    <row r="56">
      <c r="A56" s="37" t="inlineStr">
        <is>
          <t>Part 5 - Commercial and programme record</t>
        </is>
      </c>
    </row>
    <row r="57" ht="18" customHeight="1">
      <c r="A57" s="3" t="inlineStr">
        <is>
          <t>Cost treatment</t>
        </is>
      </c>
      <c r="B57" s="4" t="inlineStr"/>
    </row>
    <row r="58" ht="18" customHeight="1">
      <c r="A58" s="3" t="inlineStr">
        <is>
          <t>Back-charge reference</t>
        </is>
      </c>
      <c r="B58" s="4" t="inlineStr"/>
    </row>
    <row r="59" ht="18" customHeight="1">
      <c r="A59" s="3" t="inlineStr">
        <is>
          <t>Programme or claim reference</t>
        </is>
      </c>
      <c r="B59" s="4" t="inlineStr"/>
    </row>
    <row r="60" ht="18" customHeight="1">
      <c r="A60" s="3" t="inlineStr">
        <is>
          <t>Instruction or notice reference</t>
        </is>
      </c>
      <c r="B60" s="4" t="inlineStr"/>
    </row>
  </sheetData>
  <pageMargins left="0.75" right="0.75" top="1" bottom="1" header="0.5" footer="0.5"/>
  <pageSetup orientation="portrait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60" customWidth="1" min="2" max="2"/>
    <col width="24" customWidth="1" min="3" max="3"/>
    <col width="24" customWidth="1" min="4" max="4"/>
    <col width="14" customWidth="1" min="5" max="5"/>
  </cols>
  <sheetData>
    <row r="1">
      <c r="A1" s="1" t="inlineStr">
        <is>
          <t>NON-CONFORMANCE CLOSURE CERTIFICATE</t>
        </is>
      </c>
    </row>
    <row r="2">
      <c r="A2" s="2" t="inlineStr">
        <is>
          <t>Print-ready closure record. Load the project header from the Dashboard sheet.</t>
        </is>
      </c>
    </row>
    <row r="4">
      <c r="A4" s="35" t="inlineStr">
        <is>
          <t>Project</t>
        </is>
      </c>
      <c r="B4" s="20">
        <f>'0. Dashboard'!$B$4</f>
        <v/>
      </c>
    </row>
    <row r="5">
      <c r="A5" s="35" t="inlineStr">
        <is>
          <t>Project / contract number</t>
        </is>
      </c>
      <c r="B5" s="20">
        <f>'0. Dashboard'!$B$5</f>
        <v/>
      </c>
    </row>
    <row r="6">
      <c r="A6" s="35" t="inlineStr">
        <is>
          <t>Contractor</t>
        </is>
      </c>
      <c r="B6" s="20">
        <f>'0. Dashboard'!$B$10</f>
        <v/>
      </c>
    </row>
    <row r="7">
      <c r="A7" s="35" t="inlineStr">
        <is>
          <t>PMC / consultant</t>
        </is>
      </c>
      <c r="B7" s="20">
        <f>'0. Dashboard'!$B$12</f>
        <v/>
      </c>
    </row>
    <row r="8">
      <c r="A8" s="35" t="inlineStr">
        <is>
          <t>NCR number and title</t>
        </is>
      </c>
      <c r="B8" s="4" t="inlineStr"/>
    </row>
    <row r="9">
      <c r="A9" s="35" t="inlineStr">
        <is>
          <t>Class and date raised</t>
        </is>
      </c>
      <c r="B9" s="4" t="inlineStr"/>
    </row>
    <row r="10">
      <c r="A10" s="35" t="inlineStr">
        <is>
          <t>Date of this certificate</t>
        </is>
      </c>
      <c r="B10" s="4" t="inlineStr"/>
    </row>
    <row r="12">
      <c r="A12" s="5" t="inlineStr">
        <is>
          <t>Closure statement</t>
        </is>
      </c>
    </row>
    <row r="13">
      <c r="A13" s="13" t="inlineStr">
        <is>
          <t>The non-conformance described above has been addressed in accordance with the approved corrective action. The works have been re-inspected or re-tested against the stated acceptance criteria and are confirmed to comply with the contract requirements referred to in the non-conformance report. The preventive action recorded has been implemented and verified. This non-conformance is closed, subject to any residual conditions listed below.</t>
        </is>
      </c>
    </row>
    <row r="14"/>
    <row r="15"/>
    <row r="16"/>
    <row r="18" ht="34" customHeight="1">
      <c r="A18" s="3" t="inlineStr">
        <is>
          <t>Verification basis (re-inspection or re-test record, acceptance criteria, result, instrument and calibration reference, witnesses)</t>
        </is>
      </c>
      <c r="B18" s="38" t="n"/>
    </row>
    <row r="19" ht="34" customHeight="1">
      <c r="A19" s="3" t="inlineStr">
        <is>
          <t>Preventive action verified (description and effective date)</t>
        </is>
      </c>
      <c r="B19" s="38" t="n"/>
    </row>
    <row r="20" ht="34" customHeight="1">
      <c r="A20" s="3" t="inlineStr">
        <is>
          <t>Residual conditions with owner and date, or 'None'</t>
        </is>
      </c>
      <c r="B20" s="38" t="n"/>
    </row>
    <row r="21" ht="34" customHeight="1">
      <c r="A21" s="3" t="inlineStr">
        <is>
          <t>Evidence index (numbered list of attached evidence references)</t>
        </is>
      </c>
      <c r="B21" s="38" t="n"/>
    </row>
    <row r="23" ht="20" customHeight="1">
      <c r="A23" s="9" t="inlineStr">
        <is>
          <t>Signature</t>
        </is>
      </c>
      <c r="B23" s="9" t="inlineStr">
        <is>
          <t>Name</t>
        </is>
      </c>
      <c r="C23" s="9" t="inlineStr">
        <is>
          <t>Position</t>
        </is>
      </c>
      <c r="D23" s="9" t="inlineStr">
        <is>
          <t>Organisation</t>
        </is>
      </c>
      <c r="E23" s="9" t="inlineStr">
        <is>
          <t>Date</t>
        </is>
      </c>
    </row>
    <row r="24">
      <c r="A24" s="39" t="inlineStr">
        <is>
          <t>Contractor QA/QC manager</t>
        </is>
      </c>
      <c r="B24" s="25" t="n"/>
      <c r="C24" s="25" t="n"/>
      <c r="D24" s="25" t="n"/>
      <c r="E24" s="25" t="n"/>
    </row>
    <row r="25">
      <c r="A25" s="39" t="inlineStr">
        <is>
          <t>PMC verifier</t>
        </is>
      </c>
      <c r="B25" s="25" t="n"/>
      <c r="C25" s="25" t="n"/>
      <c r="D25" s="25" t="n"/>
      <c r="E25" s="25" t="n"/>
    </row>
    <row r="26">
      <c r="A26" s="39" t="inlineStr">
        <is>
          <t>PMC Quality Manager</t>
        </is>
      </c>
      <c r="B26" s="25" t="n"/>
      <c r="C26" s="25" t="n"/>
      <c r="D26" s="25" t="n"/>
      <c r="E26" s="25" t="n"/>
    </row>
    <row r="27">
      <c r="A27" s="39" t="inlineStr">
        <is>
          <t>Client representative (where required)</t>
        </is>
      </c>
      <c r="B27" s="25" t="n"/>
      <c r="C27" s="25" t="n"/>
      <c r="D27" s="25" t="n"/>
      <c r="E27" s="25" t="n"/>
    </row>
  </sheetData>
  <mergeCells count="1">
    <mergeCell ref="A13:B16"/>
  </mergeCells>
  <pageMargins left="0.75" right="0.75" top="1" bottom="1" header="0.5" footer="0.5"/>
  <pageSetup orientation="portrait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00" customWidth="1" min="2" max="2"/>
  </cols>
  <sheetData>
    <row r="1" ht="24" customHeight="1">
      <c r="A1" s="1" t="inlineStr">
        <is>
          <t>Definitions, Abbreviations and References</t>
        </is>
      </c>
    </row>
    <row r="2">
      <c r="A2" s="2" t="inlineStr">
        <is>
          <t>Single-page reference for site staff.</t>
        </is>
      </c>
    </row>
    <row r="4" ht="30" customHeight="1">
      <c r="A4" s="9" t="inlineStr">
        <is>
          <t>Term or abbreviation</t>
        </is>
      </c>
      <c r="B4" s="9" t="inlineStr">
        <is>
          <t>Meaning</t>
        </is>
      </c>
    </row>
    <row r="5">
      <c r="A5" s="13" t="inlineStr">
        <is>
          <t>CAPA</t>
        </is>
      </c>
      <c r="B5" s="13" t="inlineStr">
        <is>
          <t>Corrective action and preventive action, tracked with owners, dates and effectiveness verification</t>
        </is>
      </c>
    </row>
    <row r="6">
      <c r="A6" s="22" t="inlineStr">
        <is>
          <t>Closure certificate</t>
        </is>
      </c>
      <c r="B6" s="22" t="inlineStr">
        <is>
          <t>Signed record confirming correction, verification and closure, subject to any residual conditions</t>
        </is>
      </c>
    </row>
    <row r="7">
      <c r="A7" s="13" t="inlineStr">
        <is>
          <t>Containment</t>
        </is>
      </c>
      <c r="B7" s="13" t="inlineStr">
        <is>
          <t>Immediate action to stop a non-conformance spreading or to segregate affected work or materials</t>
        </is>
      </c>
    </row>
    <row r="8">
      <c r="A8" s="22" t="inlineStr">
        <is>
          <t>DLP</t>
        </is>
      </c>
      <c r="B8" s="22" t="inlineStr">
        <is>
          <t>Defects liability period, during which the contractor remains responsible for remedying defects</t>
        </is>
      </c>
    </row>
    <row r="9">
      <c r="A9" s="13" t="inlineStr">
        <is>
          <t>Hold point</t>
        </is>
      </c>
      <c r="B9" s="13" t="inlineStr">
        <is>
          <t>Point in the inspection and test plan at which work must not proceed until inspection or testing has been accepted</t>
        </is>
      </c>
    </row>
    <row r="10">
      <c r="A10" s="22" t="inlineStr">
        <is>
          <t>ITP</t>
        </is>
      </c>
      <c r="B10" s="22" t="inlineStr">
        <is>
          <t>Inspection and test plan defining inspections, tests, acceptance criteria, frequency and hold and witness points</t>
        </is>
      </c>
    </row>
    <row r="11">
      <c r="A11" s="13" t="inlineStr">
        <is>
          <t>NCR</t>
        </is>
      </c>
      <c r="B11" s="13" t="inlineStr">
        <is>
          <t>Non-conformance report raised when non-compliance with an approved requirement is confirmed</t>
        </is>
      </c>
    </row>
    <row r="12">
      <c r="A12" s="22" t="inlineStr">
        <is>
          <t>NOC</t>
        </is>
      </c>
      <c r="B12" s="22" t="inlineStr">
        <is>
          <t>No objection certificate issued by an authority, utility or third party</t>
        </is>
      </c>
    </row>
    <row r="13">
      <c r="A13" s="13" t="inlineStr">
        <is>
          <t>Observation</t>
        </is>
      </c>
      <c r="B13" s="13" t="inlineStr">
        <is>
          <t>Recorded concern or deviation that may not yet be a confirmed non-conformance</t>
        </is>
      </c>
    </row>
    <row r="14">
      <c r="A14" s="22" t="inlineStr">
        <is>
          <t>Residual condition</t>
        </is>
      </c>
      <c r="B14" s="22" t="inlineStr">
        <is>
          <t>Condition attached to a closure, such as monitoring or documentation to be completed later</t>
        </is>
      </c>
    </row>
    <row r="15">
      <c r="A15" s="13" t="inlineStr">
        <is>
          <t>Snag list</t>
        </is>
      </c>
      <c r="B15" s="13" t="inlineStr">
        <is>
          <t>Closeout completion items prepared before handover for otherwise compliant works</t>
        </is>
      </c>
    </row>
    <row r="16">
      <c r="A16" s="22" t="inlineStr">
        <is>
          <t>SOR</t>
        </is>
      </c>
      <c r="B16" s="22" t="inlineStr">
        <is>
          <t>Site observation report; a logged observation with a due date and photographic closure</t>
        </is>
      </c>
    </row>
    <row r="17">
      <c r="A17" s="13" t="inlineStr">
        <is>
          <t>Taking-over</t>
        </is>
      </c>
      <c r="B17" s="13" t="inlineStr">
        <is>
          <t>Point at which the Employer accepts the works, starting the defects liability period</t>
        </is>
      </c>
    </row>
    <row r="18">
      <c r="A18" s="22" t="inlineStr">
        <is>
          <t>Witness point</t>
        </is>
      </c>
      <c r="B18" s="22" t="inlineStr">
        <is>
          <t>Point at which the PMC, client or authority may attend and record an inspection or test</t>
        </is>
      </c>
    </row>
    <row r="19">
      <c r="A19" s="13" t="inlineStr">
        <is>
          <t>Authority references</t>
        </is>
      </c>
      <c r="B19" s="13" t="inlineStr">
        <is>
          <t>See the Authority Matrix sheet for the full UAE authority list and the evidence each authority requires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D7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40" customWidth="1" min="3" max="3"/>
    <col width="34" customWidth="1" min="4" max="4"/>
  </cols>
  <sheetData>
    <row r="1">
      <c r="A1" s="40" t="inlineStr">
        <is>
          <t>MAJOR NCR CLOSE-OUT FIELD AID</t>
        </is>
      </c>
    </row>
    <row r="2">
      <c r="A2" s="2" t="inlineStr">
        <is>
          <t>Print on one sheet. Project header loads automatically from the Dashboard sheet.</t>
        </is>
      </c>
    </row>
    <row r="4">
      <c r="A4" s="35" t="inlineStr">
        <is>
          <t>Project</t>
        </is>
      </c>
      <c r="B4" s="36">
        <f>'0. Dashboard'!$B$4</f>
        <v/>
      </c>
      <c r="C4" t="inlineStr"/>
    </row>
    <row r="5">
      <c r="A5" s="35" t="inlineStr">
        <is>
          <t>Contract</t>
        </is>
      </c>
      <c r="B5" s="36">
        <f>'0. Dashboard'!$B$5</f>
        <v/>
      </c>
      <c r="C5" t="inlineStr"/>
    </row>
    <row r="6">
      <c r="A6" s="35" t="inlineStr">
        <is>
          <t>PMC</t>
        </is>
      </c>
      <c r="B6" s="36">
        <f>'0. Dashboard'!$B$12</f>
        <v/>
      </c>
      <c r="C6" t="inlineStr"/>
    </row>
    <row r="7">
      <c r="A7" s="35" t="inlineStr">
        <is>
          <t>Contractor</t>
        </is>
      </c>
      <c r="B7" s="36">
        <f>'0. Dashboard'!$B$10</f>
        <v/>
      </c>
      <c r="C7" t="inlineStr"/>
    </row>
    <row r="8">
      <c r="A8" s="35" t="inlineStr">
        <is>
          <t>NCR number</t>
        </is>
      </c>
      <c r="B8" s="39" t="inlineStr"/>
    </row>
    <row r="9">
      <c r="A9" s="35" t="inlineStr">
        <is>
          <t>Class</t>
        </is>
      </c>
      <c r="B9" s="39" t="inlineStr"/>
    </row>
    <row r="10">
      <c r="A10" s="35" t="inlineStr">
        <is>
          <t>Date raised</t>
        </is>
      </c>
      <c r="B10" s="39" t="inlineStr"/>
    </row>
    <row r="11">
      <c r="A11" s="35" t="inlineStr">
        <is>
          <t>Location</t>
        </is>
      </c>
      <c r="B11" s="39" t="inlineStr"/>
    </row>
    <row r="12">
      <c r="A12" s="35" t="inlineStr">
        <is>
          <t>Requirement breached</t>
        </is>
      </c>
      <c r="B12" s="39" t="inlineStr"/>
    </row>
    <row r="13">
      <c r="A13" s="35" t="inlineStr">
        <is>
          <t>Contractor owner</t>
        </is>
      </c>
      <c r="B13" s="39" t="inlineStr"/>
    </row>
    <row r="14">
      <c r="A14" s="35" t="inlineStr">
        <is>
          <t>PMC verifier</t>
        </is>
      </c>
      <c r="B14" s="39" t="inlineStr"/>
    </row>
    <row r="15">
      <c r="A15" s="35" t="inlineStr">
        <is>
          <t>Target closure date</t>
        </is>
      </c>
      <c r="B15" s="39" t="inlineStr"/>
    </row>
    <row r="16">
      <c r="A16" s="35" t="inlineStr">
        <is>
          <t>Authority involved</t>
        </is>
      </c>
      <c r="B16" s="39" t="inlineStr"/>
    </row>
    <row r="18">
      <c r="A18" s="37" t="inlineStr">
        <is>
          <t>The seven gates - the item is closed only when all seven pass</t>
        </is>
      </c>
    </row>
    <row r="19" ht="18" customHeight="1">
      <c r="A19" s="9" t="inlineStr">
        <is>
          <t>Gate</t>
        </is>
      </c>
      <c r="B19" s="9" t="inlineStr">
        <is>
          <t>Question to answer</t>
        </is>
      </c>
      <c r="C19" s="9" t="inlineStr">
        <is>
          <t>Evidence that passes the gate</t>
        </is>
      </c>
      <c r="D19" s="9" t="inlineStr">
        <is>
          <t>Status</t>
        </is>
      </c>
    </row>
    <row r="20">
      <c r="A20" s="13" t="inlineStr">
        <is>
          <t>G1</t>
        </is>
      </c>
      <c r="B20" s="13" t="inlineStr">
        <is>
          <t>Is the requirement and the acceptance criterion fixed and quoted?</t>
        </is>
      </c>
      <c r="C20" s="13" t="inlineStr">
        <is>
          <t>Clause / specification section, drawing number and revision, ITP hold point or code reference, plus the objective criterion that defines compliance</t>
        </is>
      </c>
      <c r="D20" s="4" t="inlineStr">
        <is>
          <t>Open</t>
        </is>
      </c>
    </row>
    <row r="21">
      <c r="A21" s="13" t="inlineStr">
        <is>
          <t>G2</t>
        </is>
      </c>
      <c r="B21" s="13" t="inlineStr">
        <is>
          <t>Is containment complete and is the affected extent bounded?</t>
        </is>
      </c>
      <c r="C21" s="13" t="inlineStr">
        <is>
          <t>Stop / segregation / barricade record with dates and photographs; written boundary of affected work; hold notice reference</t>
        </is>
      </c>
      <c r="D21" s="4" t="inlineStr">
        <is>
          <t>Open</t>
        </is>
      </c>
    </row>
    <row r="22">
      <c r="A22" s="13" t="inlineStr">
        <is>
          <t>G3</t>
        </is>
      </c>
      <c r="B22" s="13" t="inlineStr">
        <is>
          <t>Does the root cause reach a controllable system cause?</t>
        </is>
      </c>
      <c r="C22" s="13" t="inlineStr">
        <is>
          <t>Five-why chain ending in a system cause, not human error alone; contributing control failures identified</t>
        </is>
      </c>
      <c r="D22" s="4" t="inlineStr">
        <is>
          <t>Open</t>
        </is>
      </c>
    </row>
    <row r="23">
      <c r="A23" s="13" t="inlineStr">
        <is>
          <t>G4</t>
        </is>
      </c>
      <c r="B23" s="13" t="inlineStr">
        <is>
          <t>Is the CAPA complete and verifiable?</t>
        </is>
      </c>
      <c r="C23" s="13" t="inlineStr">
        <is>
          <t>SMART corrective action; measurable preventive action; named management responsibility; implementation schedule and target dates; monitoring mechanism; evidence of long-term effectiveness</t>
        </is>
      </c>
      <c r="D23" s="4" t="inlineStr">
        <is>
          <t>Open</t>
        </is>
      </c>
    </row>
    <row r="24">
      <c r="A24" s="13" t="inlineStr">
        <is>
          <t>G5</t>
        </is>
      </c>
      <c r="B24" s="13" t="inlineStr">
        <is>
          <t>Has the correction been verified by the right party?</t>
        </is>
      </c>
      <c r="C24" s="13" t="inlineStr">
        <is>
          <t>Re-inspection or re-test against the stated criteria, calibrated instruments, witness signatures, designer confirmation, third-party test where required</t>
        </is>
      </c>
      <c r="D24" s="4" t="inlineStr">
        <is>
          <t>Open</t>
        </is>
      </c>
    </row>
    <row r="25">
      <c r="A25" s="13" t="inlineStr">
        <is>
          <t>G6</t>
        </is>
      </c>
      <c r="B25" s="13" t="inlineStr">
        <is>
          <t>Where an authority or designer was engaged, has that party accepted?</t>
        </is>
      </c>
      <c r="C25" s="13" t="inlineStr">
        <is>
          <t>Authority inspection record, NOC, certificate or approved revised drawing. The item cannot be closed on PMC inspection alone</t>
        </is>
      </c>
      <c r="D25" s="4" t="inlineStr">
        <is>
          <t>Open</t>
        </is>
      </c>
    </row>
    <row r="26">
      <c r="A26" s="13" t="inlineStr">
        <is>
          <t>G7</t>
        </is>
      </c>
      <c r="B26" s="13" t="inlineStr">
        <is>
          <t>Is the evidence pack complete, indexed and filed, and are the as-builts updated?</t>
        </is>
      </c>
      <c r="C26" s="13" t="inlineStr">
        <is>
          <t>Numbered evidence index, revised as-built markup, handover dossier and O&amp;M update, register updated with closure certificate reference</t>
        </is>
      </c>
      <c r="D26" s="4" t="inlineStr">
        <is>
          <t>Open</t>
        </is>
      </c>
    </row>
    <row r="28">
      <c r="A28" s="37" t="inlineStr">
        <is>
          <t>Time box and automatic escalation</t>
        </is>
      </c>
    </row>
    <row r="29" ht="18" customHeight="1">
      <c r="A29" s="9" t="inlineStr">
        <is>
          <t>Elapsed time</t>
        </is>
      </c>
      <c r="B29" s="9" t="inlineStr">
        <is>
          <t>What must have happened</t>
        </is>
      </c>
      <c r="C29" s="9" t="inlineStr">
        <is>
          <t>Record to hold</t>
        </is>
      </c>
      <c r="D29" s="9" t="inlineStr">
        <is>
          <t>Escalation if not achieved</t>
        </is>
      </c>
    </row>
    <row r="30">
      <c r="A30" s="13" t="inlineStr">
        <is>
          <t>0 to 24 hours</t>
        </is>
      </c>
      <c r="B30" s="13" t="inlineStr">
        <is>
          <t>Containment applied; NCR issued and distributed</t>
        </is>
      </c>
      <c r="C30" s="13" t="inlineStr">
        <is>
          <t>Containment record, photographs, hold notice</t>
        </is>
      </c>
      <c r="D30" s="13" t="inlineStr">
        <is>
          <t>Raise a written instruction to the contractor's project manager</t>
        </is>
      </c>
    </row>
    <row r="31">
      <c r="A31" s="13" t="inlineStr">
        <is>
          <t>24 to 48 hours</t>
        </is>
      </c>
      <c r="B31" s="13" t="inlineStr">
        <is>
          <t>Written acknowledgement; single named owner appointed</t>
        </is>
      </c>
      <c r="C31" s="13" t="inlineStr">
        <is>
          <t>Acknowledgement with owner and contact</t>
        </is>
      </c>
      <c r="D31" s="13" t="inlineStr">
        <is>
          <t>Escalate to the contractor's project manager; withhold valuation of the affected item</t>
        </is>
      </c>
    </row>
    <row r="32">
      <c r="A32" s="13" t="inlineStr">
        <is>
          <t>Day 3</t>
        </is>
      </c>
      <c r="B32" s="13" t="inlineStr">
        <is>
          <t>Rectification method statement submitted and approved</t>
        </is>
      </c>
      <c r="C32" s="13" t="inlineStr">
        <is>
          <t>Approved method statement and programme</t>
        </is>
      </c>
      <c r="D32" s="13" t="inlineStr">
        <is>
          <t>Issue a written instruction to submit within 48 hours</t>
        </is>
      </c>
    </row>
    <row r="33">
      <c r="A33" s="13" t="inlineStr">
        <is>
          <t>Day 7 (minor) / Day 14 (major)</t>
        </is>
      </c>
      <c r="B33" s="13" t="inlineStr">
        <is>
          <t>Root cause, corrective and preventive action submitted and accepted</t>
        </is>
      </c>
      <c r="C33" s="13" t="inlineStr">
        <is>
          <t>Five-why analysis, CAPA with owners, schedule and monitoring</t>
        </is>
      </c>
      <c r="D33" s="13" t="inlineStr">
        <is>
          <t>Reject and require resubmission; start the escalation ladder</t>
        </is>
      </c>
    </row>
    <row r="34">
      <c r="A34" s="13" t="inlineStr">
        <is>
          <t>Day 5 after approval</t>
        </is>
      </c>
      <c r="B34" s="13" t="inlineStr">
        <is>
          <t>Rectification started with resources on site</t>
        </is>
      </c>
      <c r="C34" s="13" t="inlineStr">
        <is>
          <t>Labour and material allocation record</t>
        </is>
      </c>
      <c r="D34" s="13" t="inlineStr">
        <is>
          <t>Instruction to proceed; consider the Notice to Correct route</t>
        </is>
      </c>
    </row>
    <row r="35">
      <c r="A35" s="13" t="inlineStr">
        <is>
          <t>Completion plus 5 days</t>
        </is>
      </c>
      <c r="B35" s="13" t="inlineStr">
        <is>
          <t>Re-inspection or re-test carried out and result recorded</t>
        </is>
      </c>
      <c r="C35" s="13" t="inlineStr">
        <is>
          <t>Inspection or test record with acceptance criteria</t>
        </is>
      </c>
      <c r="D35" s="13" t="inlineStr">
        <is>
          <t>Instruction to re-present; consider third-party verification</t>
        </is>
      </c>
    </row>
    <row r="36">
      <c r="A36" s="13" t="inlineStr">
        <is>
          <t>Successful verification plus 3 days</t>
        </is>
      </c>
      <c r="B36" s="13" t="inlineStr">
        <is>
          <t>Closure certificate signed by the PMC and the contractor</t>
        </is>
      </c>
      <c r="C36" s="13" t="inlineStr">
        <is>
          <t>Signed closure certificate and evidence index</t>
        </is>
      </c>
      <c r="D36" s="13" t="inlineStr">
        <is>
          <t>Report the overdue closure in the monthly assurance pack</t>
        </is>
      </c>
    </row>
    <row r="37">
      <c r="A37" s="13" t="inlineStr">
        <is>
          <t>Any item 7 days past due</t>
        </is>
      </c>
      <c r="B37" s="13" t="inlineStr">
        <is>
          <t>Written instruction to remedy</t>
        </is>
      </c>
      <c r="C37" s="13" t="inlineStr">
        <is>
          <t>Instruction referencing the NCR and the contract clause</t>
        </is>
      </c>
      <c r="D37" s="13" t="inlineStr">
        <is>
          <t>Automatic escalation to the PMC Resident Engineer</t>
        </is>
      </c>
    </row>
    <row r="38">
      <c r="A38" s="13" t="inlineStr">
        <is>
          <t>Any item 14 days past due</t>
        </is>
      </c>
      <c r="B38" s="13" t="inlineStr">
        <is>
          <t>Notice to Correct issued in parallel with the quality record</t>
        </is>
      </c>
      <c r="C38" s="13" t="inlineStr">
        <is>
          <t>Contractual notice with the obligation, the requirement and the stated time</t>
        </is>
      </c>
      <c r="D38" s="13" t="inlineStr">
        <is>
          <t>PMC Project Director and client notified the same day</t>
        </is>
      </c>
    </row>
    <row r="39">
      <c r="A39" s="13" t="inlineStr">
        <is>
          <t>Any item 28 days past due</t>
        </is>
      </c>
      <c r="B39" s="13" t="inlineStr">
        <is>
          <t>Payment and cost action</t>
        </is>
      </c>
      <c r="C39" s="13" t="inlineStr">
        <is>
          <t>Withholding note, back-charge statement, delay record</t>
        </is>
      </c>
      <c r="D39" s="13" t="inlineStr">
        <is>
          <t>Client escalation and a written recovery plan from the contractor</t>
        </is>
      </c>
    </row>
    <row r="40">
      <c r="A40" s="13" t="inlineStr">
        <is>
          <t>Safety, structural or statutory item</t>
        </is>
      </c>
      <c r="B40" s="13" t="inlineStr">
        <is>
          <t>Immediate escalation, no waiting period</t>
        </is>
      </c>
      <c r="C40" s="13" t="inlineStr">
        <is>
          <t>Instruction with the authority or code reference</t>
        </is>
      </c>
      <c r="D40" s="13" t="inlineStr">
        <is>
          <t>Notify the client and, where required, the authority</t>
        </is>
      </c>
    </row>
    <row r="42">
      <c r="A42" s="37" t="inlineStr">
        <is>
          <t>Red flags: escalate immediately if any of these appear</t>
        </is>
      </c>
    </row>
    <row r="43">
      <c r="A43" s="6" t="inlineStr">
        <is>
          <t>•  Photographs offered as the only evidence of closure</t>
        </is>
      </c>
    </row>
    <row r="44">
      <c r="A44" s="6" t="inlineStr">
        <is>
          <t>•  Root cause stated as “carelessness”, “subcontractor error” or “misunderstanding” with no system cause</t>
        </is>
      </c>
    </row>
    <row r="45">
      <c r="A45" s="6" t="inlineStr">
        <is>
          <t>•  Preventive action with no document, checklist, hold point, training record or physical control behind it</t>
        </is>
      </c>
    </row>
    <row r="46">
      <c r="A46" s="6" t="inlineStr">
        <is>
          <t>•  No acceptance criterion recorded when the NCR was issued</t>
        </is>
      </c>
    </row>
    <row r="47">
      <c r="A47" s="6" t="inlineStr">
        <is>
          <t>•  Verification proposed by the party who executed the work, with no independent check</t>
        </is>
      </c>
    </row>
    <row r="48">
      <c r="A48" s="6" t="inlineStr">
        <is>
          <t>•  Authority-linked finding with no authority instrument referenced</t>
        </is>
      </c>
    </row>
    <row r="49">
      <c r="A49" s="6" t="inlineStr">
        <is>
          <t>•  Correction executed before the design or authority consequences were assessed</t>
        </is>
      </c>
    </row>
    <row r="50">
      <c r="A50" s="6" t="inlineStr">
        <is>
          <t>•  Item aged beyond 30 days with no recovery plan or programme impact assessment</t>
        </is>
      </c>
    </row>
    <row r="52">
      <c r="A52" s="37" t="inlineStr">
        <is>
          <t>Evidence pack checklist: tick only when the document is in the closure dossier</t>
        </is>
      </c>
    </row>
    <row r="53">
      <c r="A53" s="6" t="inlineStr">
        <is>
          <t>☐  NCR with clause, drawing revision, ITP hold point or code reference and the acceptance criterion</t>
        </is>
      </c>
    </row>
    <row r="54">
      <c r="A54" s="6" t="inlineStr">
        <is>
          <t>☐  Photographs with date and location metadata, before and after</t>
        </is>
      </c>
    </row>
    <row r="55">
      <c r="A55" s="6" t="inlineStr">
        <is>
          <t>☐  Containment record and hold notice</t>
        </is>
      </c>
    </row>
    <row r="56">
      <c r="A56" s="6" t="inlineStr">
        <is>
          <t>☐  Method statement, approved, with the revision number</t>
        </is>
      </c>
    </row>
    <row r="57">
      <c r="A57" s="6" t="inlineStr">
        <is>
          <t>☐  Test or inspection record with results and the calibration reference of instruments used</t>
        </is>
      </c>
    </row>
    <row r="58">
      <c r="A58" s="6" t="inlineStr">
        <is>
          <t>☐  Third-party or accredited laboratory report where applicable</t>
        </is>
      </c>
    </row>
    <row r="59">
      <c r="A59" s="6" t="inlineStr">
        <is>
          <t>☐  Material conformity, batch or serial traceability for replaced products</t>
        </is>
      </c>
    </row>
    <row r="60">
      <c r="A60" s="6" t="inlineStr">
        <is>
          <t>☐  Designer or engineer confirmation where the correction affects the permanent works</t>
        </is>
      </c>
    </row>
    <row r="61">
      <c r="A61" s="6" t="inlineStr">
        <is>
          <t>☐  Authority inspection record, NOC, certificate or approved revised drawing</t>
        </is>
      </c>
    </row>
    <row r="62">
      <c r="A62" s="6" t="inlineStr">
        <is>
          <t>☐  Revised as-built markup and handover dossier update</t>
        </is>
      </c>
    </row>
    <row r="63">
      <c r="A63" s="6" t="inlineStr">
        <is>
          <t>☐  Signed closure certificate with the evidence index</t>
        </is>
      </c>
    </row>
    <row r="65">
      <c r="A65" s="2" t="inlineStr">
        <is>
          <t>Rule: no authority or designer linked item is closed by PMC inspection alone; no major item is closed on corrective action alone.</t>
        </is>
      </c>
    </row>
    <row r="67" ht="18" customHeight="1">
      <c r="A67" s="9" t="inlineStr">
        <is>
          <t>Signature</t>
        </is>
      </c>
      <c r="B67" s="9" t="inlineStr">
        <is>
          <t>Name</t>
        </is>
      </c>
      <c r="C67" s="9" t="inlineStr">
        <is>
          <t>Position</t>
        </is>
      </c>
      <c r="D67" s="9" t="inlineStr">
        <is>
          <t>Date</t>
        </is>
      </c>
    </row>
    <row r="68">
      <c r="A68" s="39" t="inlineStr">
        <is>
          <t>Contractor QA/QC manager</t>
        </is>
      </c>
      <c r="B68" s="25" t="n"/>
      <c r="C68" s="25" t="n"/>
      <c r="D68" s="25" t="n"/>
    </row>
    <row r="69">
      <c r="A69" s="39" t="inlineStr">
        <is>
          <t>PMC verifier</t>
        </is>
      </c>
      <c r="B69" s="25" t="n"/>
      <c r="C69" s="25" t="n"/>
      <c r="D69" s="25" t="n"/>
    </row>
    <row r="70">
      <c r="A70" s="39" t="inlineStr">
        <is>
          <t>PMC Quality Manager</t>
        </is>
      </c>
      <c r="B70" s="25" t="n"/>
      <c r="C70" s="25" t="n"/>
      <c r="D70" s="25" t="n"/>
    </row>
  </sheetData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6" customWidth="1" min="3" max="3"/>
    <col width="44" customWidth="1" min="4" max="4"/>
    <col width="44" customWidth="1" min="5" max="5"/>
    <col width="18" customWidth="1" min="6" max="6"/>
    <col width="12" customWidth="1" min="7" max="7"/>
    <col width="14" customWidth="1" min="8" max="8"/>
    <col width="16" customWidth="1" min="9" max="9"/>
    <col width="24" customWidth="1" min="10" max="10"/>
  </cols>
  <sheetData>
    <row r="1" ht="24" customHeight="1">
      <c r="A1" s="1" t="inlineStr">
        <is>
          <t>Major NCR Close-Out Checklist - Contractor's QA/QC Team</t>
        </is>
      </c>
    </row>
    <row r="2">
      <c r="A2" s="2" t="inlineStr">
        <is>
          <t>Work top to bottom. No step may be skipped, and the PMC will not accept a closure offer until every applicable line is evidenced.</t>
        </is>
      </c>
    </row>
    <row r="4" ht="42" customHeight="1">
      <c r="A4" s="9" t="inlineStr">
        <is>
          <t>#</t>
        </is>
      </c>
      <c r="B4" s="9" t="inlineStr">
        <is>
          <t>Phase</t>
        </is>
      </c>
      <c r="C4" s="9" t="inlineStr">
        <is>
          <t>Checkpoint</t>
        </is>
      </c>
      <c r="D4" s="9" t="inlineStr">
        <is>
          <t>Action required</t>
        </is>
      </c>
      <c r="E4" s="9" t="inlineStr">
        <is>
          <t>Evidence required</t>
        </is>
      </c>
      <c r="F4" s="9" t="inlineStr">
        <is>
          <t>Owner</t>
        </is>
      </c>
      <c r="G4" s="9" t="inlineStr">
        <is>
          <t>Target date</t>
        </is>
      </c>
      <c r="H4" s="9" t="inlineStr">
        <is>
          <t>Status</t>
        </is>
      </c>
      <c r="I4" s="9" t="inlineStr">
        <is>
          <t>PMC verification</t>
        </is>
      </c>
      <c r="J4" s="9" t="inlineStr">
        <is>
          <t>Comment</t>
        </is>
      </c>
    </row>
    <row r="5">
      <c r="A5" s="12" t="n">
        <v>1</v>
      </c>
      <c r="B5" s="13" t="inlineStr">
        <is>
          <t>A. Immediate - within 24 hours</t>
        </is>
      </c>
      <c r="C5" s="13" t="inlineStr">
        <is>
          <t>Acknowledge the NCR in writing and appoint one named owner</t>
        </is>
      </c>
      <c r="D5" s="4" t="inlineStr"/>
      <c r="E5" s="13" t="inlineStr">
        <is>
          <t>Written acknowledgement naming the owner and contact</t>
        </is>
      </c>
      <c r="F5" s="12" t="inlineStr">
        <is>
          <t>Contractor QA/QC manager</t>
        </is>
      </c>
      <c r="G5" s="41" t="inlineStr"/>
      <c r="H5" s="42" t="inlineStr">
        <is>
          <t>Not started</t>
        </is>
      </c>
      <c r="I5" s="42" t="inlineStr"/>
      <c r="J5" s="4" t="inlineStr"/>
    </row>
    <row r="6">
      <c r="A6" s="12" t="n">
        <v>2</v>
      </c>
      <c r="B6" s="13" t="inlineStr">
        <is>
          <t>A. Immediate - within 24 hours</t>
        </is>
      </c>
      <c r="C6" s="13" t="inlineStr">
        <is>
          <t>Stop, segregate or barricade the affected scope and record it</t>
        </is>
      </c>
      <c r="D6" s="4" t="inlineStr"/>
      <c r="E6" s="13" t="inlineStr">
        <is>
          <t>Containment record with photographs and hold notice reference</t>
        </is>
      </c>
      <c r="F6" s="12" t="inlineStr">
        <is>
          <t>Contractor site manager</t>
        </is>
      </c>
      <c r="G6" s="41" t="inlineStr"/>
      <c r="H6" s="42" t="inlineStr">
        <is>
          <t>Not started</t>
        </is>
      </c>
      <c r="I6" s="42" t="inlineStr"/>
      <c r="J6" s="4" t="inlineStr"/>
    </row>
    <row r="7">
      <c r="A7" s="12" t="n">
        <v>3</v>
      </c>
      <c r="B7" s="13" t="inlineStr">
        <is>
          <t>A. Immediate - within 24 hours</t>
        </is>
      </c>
      <c r="C7" s="13" t="inlineStr">
        <is>
          <t>Bound the affected extent physically and in writing</t>
        </is>
      </c>
      <c r="D7" s="4" t="inlineStr"/>
      <c r="E7" s="13" t="inlineStr">
        <is>
          <t>Marked-up plan showing the affected area and quantity</t>
        </is>
      </c>
      <c r="F7" s="12" t="inlineStr">
        <is>
          <t>Contractor QA/QC engineer</t>
        </is>
      </c>
      <c r="G7" s="41" t="inlineStr"/>
      <c r="H7" s="42" t="inlineStr">
        <is>
          <t>Not started</t>
        </is>
      </c>
      <c r="I7" s="42" t="inlineStr"/>
      <c r="J7" s="4" t="inlineStr"/>
    </row>
    <row r="8">
      <c r="A8" s="12" t="n">
        <v>4</v>
      </c>
      <c r="B8" s="13" t="inlineStr">
        <is>
          <t>A. Immediate - within 24 hours</t>
        </is>
      </c>
      <c r="C8" s="13" t="inlineStr">
        <is>
          <t>Verify the exact requirement and the acceptance criterion</t>
        </is>
      </c>
      <c r="D8" s="4" t="inlineStr"/>
      <c r="E8" s="13" t="inlineStr">
        <is>
          <t>Clause, specification section, drawing revision, ITP hold point or code reference</t>
        </is>
      </c>
      <c r="F8" s="12" t="inlineStr">
        <is>
          <t>Contractor QA/QC manager</t>
        </is>
      </c>
      <c r="G8" s="41" t="inlineStr"/>
      <c r="H8" s="42" t="inlineStr">
        <is>
          <t>Not started</t>
        </is>
      </c>
      <c r="I8" s="42" t="inlineStr"/>
      <c r="J8" s="4" t="inlineStr"/>
    </row>
    <row r="9">
      <c r="A9" s="12" t="n">
        <v>5</v>
      </c>
      <c r="B9" s="13" t="inlineStr">
        <is>
          <t>A. Immediate - within 24 hours</t>
        </is>
      </c>
      <c r="C9" s="13" t="inlineStr">
        <is>
          <t>Identify whether an authority, designer or utility is engaged</t>
        </is>
      </c>
      <c r="D9" s="4" t="inlineStr"/>
      <c r="E9" s="13" t="inlineStr">
        <is>
          <t>Authority or designer reference and the instrument that will prove acceptance</t>
        </is>
      </c>
      <c r="F9" s="12" t="inlineStr">
        <is>
          <t>Contractor authority coordinator</t>
        </is>
      </c>
      <c r="G9" s="41" t="inlineStr"/>
      <c r="H9" s="42" t="inlineStr">
        <is>
          <t>Not started</t>
        </is>
      </c>
      <c r="I9" s="42" t="inlineStr"/>
      <c r="J9" s="4" t="inlineStr"/>
    </row>
    <row r="10">
      <c r="A10" s="12" t="n">
        <v>6</v>
      </c>
      <c r="B10" s="13" t="inlineStr">
        <is>
          <t>B. Within 48 hours</t>
        </is>
      </c>
      <c r="C10" s="13" t="inlineStr">
        <is>
          <t>Assess the effect on safety, structure, statutory approval, programme and cost</t>
        </is>
      </c>
      <c r="D10" s="4" t="inlineStr"/>
      <c r="E10" s="13" t="inlineStr">
        <is>
          <t>Written impact assessment with the affected activities listed</t>
        </is>
      </c>
      <c r="F10" s="12" t="inlineStr">
        <is>
          <t>Contractor project manager</t>
        </is>
      </c>
      <c r="G10" s="41" t="inlineStr"/>
      <c r="H10" s="42" t="inlineStr">
        <is>
          <t>Not started</t>
        </is>
      </c>
      <c r="I10" s="42" t="inlineStr"/>
      <c r="J10" s="4" t="inlineStr"/>
    </row>
    <row r="11">
      <c r="A11" s="12" t="n">
        <v>7</v>
      </c>
      <c r="B11" s="13" t="inlineStr">
        <is>
          <t>B. Within 48 hours</t>
        </is>
      </c>
      <c r="C11" s="13" t="inlineStr">
        <is>
          <t>Withdraw or quarantine non-conforming materials and record batch details</t>
        </is>
      </c>
      <c r="D11" s="4" t="inlineStr"/>
      <c r="E11" s="13" t="inlineStr">
        <is>
          <t>Quarantine record with batch or serial numbers and delivery references</t>
        </is>
      </c>
      <c r="F11" s="12" t="inlineStr">
        <is>
          <t>Contractor QA/QC + stores</t>
        </is>
      </c>
      <c r="G11" s="41" t="inlineStr"/>
      <c r="H11" s="42" t="inlineStr">
        <is>
          <t>Not started</t>
        </is>
      </c>
      <c r="I11" s="42" t="inlineStr"/>
      <c r="J11" s="4" t="inlineStr"/>
    </row>
    <row r="12">
      <c r="A12" s="12" t="n">
        <v>8</v>
      </c>
      <c r="B12" s="13" t="inlineStr">
        <is>
          <t>B. Within 48 hours</t>
        </is>
      </c>
      <c r="C12" s="13" t="inlineStr">
        <is>
          <t>Assess whether the correction requires a design change or a revised drawing</t>
        </is>
      </c>
      <c r="D12" s="4" t="inlineStr"/>
      <c r="E12" s="13" t="inlineStr">
        <is>
          <t>Designer's preliminary position or a request for assessment</t>
        </is>
      </c>
      <c r="F12" s="12" t="inlineStr">
        <is>
          <t>Contractor design manager</t>
        </is>
      </c>
      <c r="G12" s="41" t="inlineStr"/>
      <c r="H12" s="42" t="inlineStr">
        <is>
          <t>Not started</t>
        </is>
      </c>
      <c r="I12" s="42" t="inlineStr"/>
      <c r="J12" s="4" t="inlineStr"/>
    </row>
    <row r="13">
      <c r="A13" s="12" t="n">
        <v>9</v>
      </c>
      <c r="B13" s="13" t="inlineStr">
        <is>
          <t>C. Method and planning</t>
        </is>
      </c>
      <c r="C13" s="13" t="inlineStr">
        <is>
          <t>Prepare and submit the rectification method statement</t>
        </is>
      </c>
      <c r="D13" s="4" t="inlineStr"/>
      <c r="E13" s="13" t="inlineStr">
        <is>
          <t>Method statement with sequence, materials, plant and safety controls</t>
        </is>
      </c>
      <c r="F13" s="12" t="inlineStr">
        <is>
          <t>Contractor QA/QC manager</t>
        </is>
      </c>
      <c r="G13" s="41" t="inlineStr"/>
      <c r="H13" s="42" t="inlineStr">
        <is>
          <t>Not started</t>
        </is>
      </c>
      <c r="I13" s="42" t="inlineStr"/>
      <c r="J13" s="4" t="inlineStr"/>
    </row>
    <row r="14">
      <c r="A14" s="12" t="n">
        <v>10</v>
      </c>
      <c r="B14" s="13" t="inlineStr">
        <is>
          <t>C. Method and planning</t>
        </is>
      </c>
      <c r="C14" s="13" t="inlineStr">
        <is>
          <t>State the acceptance criterion and the proposed verification method in the submittal</t>
        </is>
      </c>
      <c r="D14" s="4" t="inlineStr"/>
      <c r="E14" s="13" t="inlineStr">
        <is>
          <t>Verification plan naming the test or inspection, the standard and the witness</t>
        </is>
      </c>
      <c r="F14" s="12" t="inlineStr">
        <is>
          <t>Contractor QA/QC manager</t>
        </is>
      </c>
      <c r="G14" s="41" t="inlineStr"/>
      <c r="H14" s="42" t="inlineStr">
        <is>
          <t>Not started</t>
        </is>
      </c>
      <c r="I14" s="42" t="inlineStr"/>
      <c r="J14" s="4" t="inlineStr"/>
    </row>
    <row r="15">
      <c r="A15" s="12" t="n">
        <v>11</v>
      </c>
      <c r="B15" s="13" t="inlineStr">
        <is>
          <t>C. Method and planning</t>
        </is>
      </c>
      <c r="C15" s="13" t="inlineStr">
        <is>
          <t>Obtain approval before execution, including the revised drawing revision where applicable</t>
        </is>
      </c>
      <c r="D15" s="4" t="inlineStr"/>
      <c r="E15" s="13" t="inlineStr">
        <is>
          <t>Approved method statement and approved drawing revision</t>
        </is>
      </c>
      <c r="F15" s="12" t="inlineStr">
        <is>
          <t>PMC and, where applicable, the designer</t>
        </is>
      </c>
      <c r="G15" s="41" t="inlineStr"/>
      <c r="H15" s="42" t="inlineStr">
        <is>
          <t>Not started</t>
        </is>
      </c>
      <c r="I15" s="42" t="inlineStr"/>
      <c r="J15" s="4" t="inlineStr"/>
    </row>
    <row r="16">
      <c r="A16" s="12" t="n">
        <v>12</v>
      </c>
      <c r="B16" s="13" t="inlineStr">
        <is>
          <t>C. Method and planning</t>
        </is>
      </c>
      <c r="C16" s="13" t="inlineStr">
        <is>
          <t>Confirm whether the authority must approve or re-inspect before or after execution</t>
        </is>
      </c>
      <c r="D16" s="4" t="inlineStr"/>
      <c r="E16" s="13" t="inlineStr">
        <is>
          <t>Confirmed authority route and the re-inspection request date</t>
        </is>
      </c>
      <c r="F16" s="12" t="inlineStr">
        <is>
          <t>Contractor authority coordinator</t>
        </is>
      </c>
      <c r="G16" s="41" t="inlineStr"/>
      <c r="H16" s="42" t="inlineStr">
        <is>
          <t>Not started</t>
        </is>
      </c>
      <c r="I16" s="42" t="inlineStr"/>
      <c r="J16" s="4" t="inlineStr"/>
    </row>
    <row r="17">
      <c r="A17" s="12" t="n">
        <v>13</v>
      </c>
      <c r="B17" s="13" t="inlineStr">
        <is>
          <t>D. Root cause and CAPA</t>
        </is>
      </c>
      <c r="C17" s="13" t="inlineStr">
        <is>
          <t>Complete the five-why analysis to a controllable system cause</t>
        </is>
      </c>
      <c r="D17" s="4" t="inlineStr"/>
      <c r="E17" s="13" t="inlineStr">
        <is>
          <t>Five-why chain with evidence for each step</t>
        </is>
      </c>
      <c r="F17" s="12" t="inlineStr">
        <is>
          <t>Contractor QA/QC manager with the production team</t>
        </is>
      </c>
      <c r="G17" s="41" t="inlineStr"/>
      <c r="H17" s="42" t="inlineStr">
        <is>
          <t>Not started</t>
        </is>
      </c>
      <c r="I17" s="42" t="inlineStr"/>
      <c r="J17" s="4" t="inlineStr"/>
    </row>
    <row r="18">
      <c r="A18" s="12" t="n">
        <v>14</v>
      </c>
      <c r="B18" s="13" t="inlineStr">
        <is>
          <t>D. Root cause and CAPA</t>
        </is>
      </c>
      <c r="C18" s="13" t="inlineStr">
        <is>
          <t>Identify the control that allowed the escape (inspection, approval, material control, information)</t>
        </is>
      </c>
      <c r="D18" s="4" t="inlineStr"/>
      <c r="E18" s="13" t="inlineStr">
        <is>
          <t>Contributing factor analysis linked to the failed control</t>
        </is>
      </c>
      <c r="F18" s="12" t="inlineStr">
        <is>
          <t>Contractor QA/QC manager</t>
        </is>
      </c>
      <c r="G18" s="41" t="inlineStr"/>
      <c r="H18" s="42" t="inlineStr">
        <is>
          <t>Not started</t>
        </is>
      </c>
      <c r="I18" s="42" t="inlineStr"/>
      <c r="J18" s="4" t="inlineStr"/>
    </row>
    <row r="19">
      <c r="A19" s="12" t="n">
        <v>15</v>
      </c>
      <c r="B19" s="13" t="inlineStr">
        <is>
          <t>D. Root cause and CAPA</t>
        </is>
      </c>
      <c r="C19" s="13" t="inlineStr">
        <is>
          <t>Define the SMART corrective action for the affected works</t>
        </is>
      </c>
      <c r="D19" s="4" t="inlineStr"/>
      <c r="E19" s="13" t="inlineStr">
        <is>
          <t>Corrective action with the defined scope, method and acceptance criterion</t>
        </is>
      </c>
      <c r="F19" s="12" t="inlineStr">
        <is>
          <t>Contractor project manager</t>
        </is>
      </c>
      <c r="G19" s="41" t="inlineStr"/>
      <c r="H19" s="42" t="inlineStr">
        <is>
          <t>Not started</t>
        </is>
      </c>
      <c r="I19" s="42" t="inlineStr"/>
      <c r="J19" s="4" t="inlineStr"/>
    </row>
    <row r="20">
      <c r="A20" s="12" t="n">
        <v>16</v>
      </c>
      <c r="B20" s="13" t="inlineStr">
        <is>
          <t>D. Root cause and CAPA</t>
        </is>
      </c>
      <c r="C20" s="13" t="inlineStr">
        <is>
          <t>Define the measurable preventive action that addresses recurrence project-wide</t>
        </is>
      </c>
      <c r="D20" s="4" t="inlineStr"/>
      <c r="E20" s="13" t="inlineStr">
        <is>
          <t>Documented change to a procedure, checklist, hold point, training or physical control</t>
        </is>
      </c>
      <c r="F20" s="12" t="inlineStr">
        <is>
          <t>Contractor project manager</t>
        </is>
      </c>
      <c r="G20" s="41" t="inlineStr"/>
      <c r="H20" s="42" t="inlineStr">
        <is>
          <t>Not started</t>
        </is>
      </c>
      <c r="I20" s="42" t="inlineStr"/>
      <c r="J20" s="4" t="inlineStr"/>
    </row>
    <row r="21">
      <c r="A21" s="12" t="n">
        <v>17</v>
      </c>
      <c r="B21" s="13" t="inlineStr">
        <is>
          <t>D. Root cause and CAPA</t>
        </is>
      </c>
      <c r="C21" s="13" t="inlineStr">
        <is>
          <t>Assign named management responsibility for each action</t>
        </is>
      </c>
      <c r="D21" s="4" t="inlineStr"/>
      <c r="E21" s="13" t="inlineStr">
        <is>
          <t>Action register showing owner, position and accountability</t>
        </is>
      </c>
      <c r="F21" s="12" t="inlineStr">
        <is>
          <t>Contractor project manager</t>
        </is>
      </c>
      <c r="G21" s="41" t="inlineStr"/>
      <c r="H21" s="42" t="inlineStr">
        <is>
          <t>Not started</t>
        </is>
      </c>
      <c r="I21" s="42" t="inlineStr"/>
      <c r="J21" s="4" t="inlineStr"/>
    </row>
    <row r="22">
      <c r="A22" s="12" t="n">
        <v>18</v>
      </c>
      <c r="B22" s="13" t="inlineStr">
        <is>
          <t>D. Root cause and CAPA</t>
        </is>
      </c>
      <c r="C22" s="13" t="inlineStr">
        <is>
          <t>Set the implementation schedule with target completion dates</t>
        </is>
      </c>
      <c r="D22" s="4" t="inlineStr"/>
      <c r="E22" s="13" t="inlineStr">
        <is>
          <t>Schedule extract showing each action with dates</t>
        </is>
      </c>
      <c r="F22" s="12" t="inlineStr">
        <is>
          <t>Contractor planner</t>
        </is>
      </c>
      <c r="G22" s="41" t="inlineStr"/>
      <c r="H22" s="42" t="inlineStr">
        <is>
          <t>Not started</t>
        </is>
      </c>
      <c r="I22" s="42" t="inlineStr"/>
      <c r="J22" s="4" t="inlineStr"/>
    </row>
    <row r="23">
      <c r="A23" s="12" t="n">
        <v>19</v>
      </c>
      <c r="B23" s="13" t="inlineStr">
        <is>
          <t>D. Root cause and CAPA</t>
        </is>
      </c>
      <c r="C23" s="13" t="inlineStr">
        <is>
          <t>Define the monitoring mechanism and the effectiveness evidence</t>
        </is>
      </c>
      <c r="D23" s="4" t="inlineStr"/>
      <c r="E23" s="13" t="inlineStr">
        <is>
          <t>Monitoring plan and the evidence that will demonstrate long-term effectiveness</t>
        </is>
      </c>
      <c r="F23" s="12" t="inlineStr">
        <is>
          <t>Contractor QA/QC manager</t>
        </is>
      </c>
      <c r="G23" s="41" t="inlineStr"/>
      <c r="H23" s="42" t="inlineStr">
        <is>
          <t>Not started</t>
        </is>
      </c>
      <c r="I23" s="42" t="inlineStr"/>
      <c r="J23" s="4" t="inlineStr"/>
    </row>
    <row r="24">
      <c r="A24" s="12" t="n">
        <v>20</v>
      </c>
      <c r="B24" s="13" t="inlineStr">
        <is>
          <t>E. Execution</t>
        </is>
      </c>
      <c r="C24" s="13" t="inlineStr">
        <is>
          <t>Mobilise labour, materials and access so the correction is not delayed</t>
        </is>
      </c>
      <c r="D24" s="4" t="inlineStr"/>
      <c r="E24" s="13" t="inlineStr">
        <is>
          <t>Resource allocation and access record</t>
        </is>
      </c>
      <c r="F24" s="12" t="inlineStr">
        <is>
          <t>Contractor site manager</t>
        </is>
      </c>
      <c r="G24" s="41" t="inlineStr"/>
      <c r="H24" s="42" t="inlineStr">
        <is>
          <t>Not started</t>
        </is>
      </c>
      <c r="I24" s="42" t="inlineStr"/>
      <c r="J24" s="4" t="inlineStr"/>
    </row>
    <row r="25">
      <c r="A25" s="12" t="n">
        <v>21</v>
      </c>
      <c r="B25" s="13" t="inlineStr">
        <is>
          <t>E. Execution</t>
        </is>
      </c>
      <c r="C25" s="13" t="inlineStr">
        <is>
          <t>Execute to the approved method with hold points respected</t>
        </is>
      </c>
      <c r="D25" s="4" t="inlineStr"/>
      <c r="E25" s="13" t="inlineStr">
        <is>
          <t>Daily records, inspection requests and hold point releases</t>
        </is>
      </c>
      <c r="F25" s="12" t="inlineStr">
        <is>
          <t>Contractor QA/QC engineer</t>
        </is>
      </c>
      <c r="G25" s="41" t="inlineStr"/>
      <c r="H25" s="42" t="inlineStr">
        <is>
          <t>Not started</t>
        </is>
      </c>
      <c r="I25" s="42" t="inlineStr"/>
      <c r="J25" s="4" t="inlineStr"/>
    </row>
    <row r="26">
      <c r="A26" s="12" t="n">
        <v>22</v>
      </c>
      <c r="B26" s="13" t="inlineStr">
        <is>
          <t>E. Execution</t>
        </is>
      </c>
      <c r="C26" s="13" t="inlineStr">
        <is>
          <t>Maintain material traceability for replacement products</t>
        </is>
      </c>
      <c r="D26" s="4" t="inlineStr"/>
      <c r="E26" s="13" t="inlineStr">
        <is>
          <t>Conformity certificate, batch or serial number and delivery record</t>
        </is>
      </c>
      <c r="F26" s="12" t="inlineStr">
        <is>
          <t>Contractor QA/QC + procurement</t>
        </is>
      </c>
      <c r="G26" s="41" t="inlineStr"/>
      <c r="H26" s="42" t="inlineStr">
        <is>
          <t>Not started</t>
        </is>
      </c>
      <c r="I26" s="42" t="inlineStr"/>
      <c r="J26" s="4" t="inlineStr"/>
    </row>
    <row r="27">
      <c r="A27" s="12" t="n">
        <v>23</v>
      </c>
      <c r="B27" s="13" t="inlineStr">
        <is>
          <t>E. Execution</t>
        </is>
      </c>
      <c r="C27" s="13" t="inlineStr">
        <is>
          <t>Record the works photographically with date and location metadata</t>
        </is>
      </c>
      <c r="D27" s="4" t="inlineStr"/>
      <c r="E27" s="13" t="inlineStr">
        <is>
          <t>Before, during and after photographs</t>
        </is>
      </c>
      <c r="F27" s="12" t="inlineStr">
        <is>
          <t>Contractor QA/QC engineer</t>
        </is>
      </c>
      <c r="G27" s="41" t="inlineStr"/>
      <c r="H27" s="42" t="inlineStr">
        <is>
          <t>Not started</t>
        </is>
      </c>
      <c r="I27" s="42" t="inlineStr"/>
      <c r="J27" s="4" t="inlineStr"/>
    </row>
    <row r="28">
      <c r="A28" s="12" t="n">
        <v>24</v>
      </c>
      <c r="B28" s="13" t="inlineStr">
        <is>
          <t>F. Verification</t>
        </is>
      </c>
      <c r="C28" s="13" t="inlineStr">
        <is>
          <t>Self-inspect against the acceptance criterion before offering the works</t>
        </is>
      </c>
      <c r="D28" s="4" t="inlineStr"/>
      <c r="E28" s="13" t="inlineStr">
        <is>
          <t>Contractor's own inspection record with results</t>
        </is>
      </c>
      <c r="F28" s="12" t="inlineStr">
        <is>
          <t>Contractor QA/QC manager</t>
        </is>
      </c>
      <c r="G28" s="41" t="inlineStr"/>
      <c r="H28" s="42" t="inlineStr">
        <is>
          <t>Not started</t>
        </is>
      </c>
      <c r="I28" s="42" t="inlineStr"/>
      <c r="J28" s="4" t="inlineStr"/>
    </row>
    <row r="29">
      <c r="A29" s="12" t="n">
        <v>25</v>
      </c>
      <c r="B29" s="13" t="inlineStr">
        <is>
          <t>F. Verification</t>
        </is>
      </c>
      <c r="C29" s="13" t="inlineStr">
        <is>
          <t>Submit the inspection or test request with the required notice period</t>
        </is>
      </c>
      <c r="D29" s="4" t="inlineStr"/>
      <c r="E29" s="13" t="inlineStr">
        <is>
          <t>Inspection request and the agreed witness arrangements</t>
        </is>
      </c>
      <c r="F29" s="12" t="inlineStr">
        <is>
          <t>Contractor QA/QC manager</t>
        </is>
      </c>
      <c r="G29" s="41" t="inlineStr"/>
      <c r="H29" s="42" t="inlineStr">
        <is>
          <t>Not started</t>
        </is>
      </c>
      <c r="I29" s="42" t="inlineStr"/>
      <c r="J29" s="4" t="inlineStr"/>
    </row>
    <row r="30">
      <c r="A30" s="12" t="n">
        <v>26</v>
      </c>
      <c r="B30" s="13" t="inlineStr">
        <is>
          <t>F. Verification</t>
        </is>
      </c>
      <c r="C30" s="13" t="inlineStr">
        <is>
          <t>Support testing with calibrated instruments and current certificates</t>
        </is>
      </c>
      <c r="D30" s="4" t="inlineStr"/>
      <c r="E30" s="13" t="inlineStr">
        <is>
          <t>Calibration certificates for every instrument used</t>
        </is>
      </c>
      <c r="F30" s="12" t="inlineStr">
        <is>
          <t>Contractor QA/QC engineer</t>
        </is>
      </c>
      <c r="G30" s="41" t="inlineStr"/>
      <c r="H30" s="42" t="inlineStr">
        <is>
          <t>Not started</t>
        </is>
      </c>
      <c r="I30" s="42" t="inlineStr"/>
      <c r="J30" s="4" t="inlineStr"/>
    </row>
    <row r="31">
      <c r="A31" s="12" t="n">
        <v>27</v>
      </c>
      <c r="B31" s="13" t="inlineStr">
        <is>
          <t>F. Verification</t>
        </is>
      </c>
      <c r="C31" s="13" t="inlineStr">
        <is>
          <t>Obtain third-party or accredited laboratory testing where the category requires it</t>
        </is>
      </c>
      <c r="D31" s="4" t="inlineStr"/>
      <c r="E31" s="13" t="inlineStr">
        <is>
          <t>Third-party or accredited test report</t>
        </is>
      </c>
      <c r="F31" s="12" t="inlineStr">
        <is>
          <t>Contractor QA/QC manager</t>
        </is>
      </c>
      <c r="G31" s="41" t="inlineStr"/>
      <c r="H31" s="42" t="inlineStr">
        <is>
          <t>Not started</t>
        </is>
      </c>
      <c r="I31" s="42" t="inlineStr"/>
      <c r="J31" s="4" t="inlineStr"/>
    </row>
    <row r="32">
      <c r="A32" s="12" t="n">
        <v>28</v>
      </c>
      <c r="B32" s="13" t="inlineStr">
        <is>
          <t>F. Verification</t>
        </is>
      </c>
      <c r="C32" s="13" t="inlineStr">
        <is>
          <t>Attend the re-inspection and respond to any failure immediately</t>
        </is>
      </c>
      <c r="D32" s="4" t="inlineStr"/>
      <c r="E32" s="13" t="inlineStr">
        <is>
          <t>Attendance record and closure of any new comment</t>
        </is>
      </c>
      <c r="F32" s="12" t="inlineStr">
        <is>
          <t>Contractor QA/QC manager</t>
        </is>
      </c>
      <c r="G32" s="41" t="inlineStr"/>
      <c r="H32" s="42" t="inlineStr">
        <is>
          <t>Not started</t>
        </is>
      </c>
      <c r="I32" s="42" t="inlineStr"/>
      <c r="J32" s="4" t="inlineStr"/>
    </row>
    <row r="33">
      <c r="A33" s="12" t="n">
        <v>29</v>
      </c>
      <c r="B33" s="13" t="inlineStr">
        <is>
          <t>G. Authority and designer</t>
        </is>
      </c>
      <c r="C33" s="13" t="inlineStr">
        <is>
          <t>Submit the authority re-inspection request or the revised drawing for approval</t>
        </is>
      </c>
      <c r="D33" s="4" t="inlineStr"/>
      <c r="E33" s="13" t="inlineStr">
        <is>
          <t>Submission receipt and reference number</t>
        </is>
      </c>
      <c r="F33" s="12" t="inlineStr">
        <is>
          <t>Contractor authority coordinator</t>
        </is>
      </c>
      <c r="G33" s="41" t="inlineStr"/>
      <c r="H33" s="42" t="inlineStr">
        <is>
          <t>Not started</t>
        </is>
      </c>
      <c r="I33" s="42" t="inlineStr"/>
      <c r="J33" s="4" t="inlineStr"/>
    </row>
    <row r="34">
      <c r="A34" s="12" t="n">
        <v>30</v>
      </c>
      <c r="B34" s="13" t="inlineStr">
        <is>
          <t>G. Authority and designer</t>
        </is>
      </c>
      <c r="C34" s="13" t="inlineStr">
        <is>
          <t>Attend and support the authority inspection and close every comment raised</t>
        </is>
      </c>
      <c r="D34" s="4" t="inlineStr"/>
      <c r="E34" s="13" t="inlineStr">
        <is>
          <t>Authority inspection record with comments closed point by point</t>
        </is>
      </c>
      <c r="F34" s="12" t="inlineStr">
        <is>
          <t>Contractor authority coordinator + QA/QC</t>
        </is>
      </c>
      <c r="G34" s="41" t="inlineStr"/>
      <c r="H34" s="42" t="inlineStr">
        <is>
          <t>Not started</t>
        </is>
      </c>
      <c r="I34" s="42" t="inlineStr"/>
      <c r="J34" s="4" t="inlineStr"/>
    </row>
    <row r="35">
      <c r="A35" s="12" t="n">
        <v>31</v>
      </c>
      <c r="B35" s="13" t="inlineStr">
        <is>
          <t>G. Authority and designer</t>
        </is>
      </c>
      <c r="C35" s="13" t="inlineStr">
        <is>
          <t>Obtain the designer's written confirmation where the permanent works were affected</t>
        </is>
      </c>
      <c r="D35" s="4" t="inlineStr"/>
      <c r="E35" s="13" t="inlineStr">
        <is>
          <t>Designer's confirmation letter or approved calculation</t>
        </is>
      </c>
      <c r="F35" s="12" t="inlineStr">
        <is>
          <t>Contractor design manager</t>
        </is>
      </c>
      <c r="G35" s="41" t="inlineStr"/>
      <c r="H35" s="42" t="inlineStr">
        <is>
          <t>Not started</t>
        </is>
      </c>
      <c r="I35" s="42" t="inlineStr"/>
      <c r="J35" s="4" t="inlineStr"/>
    </row>
    <row r="36">
      <c r="A36" s="12" t="n">
        <v>32</v>
      </c>
      <c r="B36" s="13" t="inlineStr">
        <is>
          <t>H. Documentation and closure</t>
        </is>
      </c>
      <c r="C36" s="13" t="inlineStr">
        <is>
          <t>Compile the indexed evidence pack for the record</t>
        </is>
      </c>
      <c r="D36" s="4" t="inlineStr"/>
      <c r="E36" s="13" t="inlineStr">
        <is>
          <t>Numbered evidence index with every document referenced</t>
        </is>
      </c>
      <c r="F36" s="12" t="inlineStr">
        <is>
          <t>Contractor document controller</t>
        </is>
      </c>
      <c r="G36" s="41" t="inlineStr"/>
      <c r="H36" s="42" t="inlineStr">
        <is>
          <t>Not started</t>
        </is>
      </c>
      <c r="I36" s="42" t="inlineStr"/>
      <c r="J36" s="4" t="inlineStr"/>
    </row>
    <row r="37">
      <c r="A37" s="12" t="n">
        <v>33</v>
      </c>
      <c r="B37" s="13" t="inlineStr">
        <is>
          <t>H. Documentation and closure</t>
        </is>
      </c>
      <c r="C37" s="13" t="inlineStr">
        <is>
          <t>Update the as-built drawings and the O&amp;M information affected</t>
        </is>
      </c>
      <c r="D37" s="4" t="inlineStr"/>
      <c r="E37" s="13" t="inlineStr">
        <is>
          <t>Revised as-built markup and O&amp;M update</t>
        </is>
      </c>
      <c r="F37" s="12" t="inlineStr">
        <is>
          <t>Contractor design manager</t>
        </is>
      </c>
      <c r="G37" s="41" t="inlineStr"/>
      <c r="H37" s="42" t="inlineStr">
        <is>
          <t>Not started</t>
        </is>
      </c>
      <c r="I37" s="42" t="inlineStr"/>
      <c r="J37" s="4" t="inlineStr"/>
    </row>
    <row r="38">
      <c r="A38" s="12" t="n">
        <v>34</v>
      </c>
      <c r="B38" s="13" t="inlineStr">
        <is>
          <t>H. Documentation and closure</t>
        </is>
      </c>
      <c r="C38" s="13" t="inlineStr">
        <is>
          <t>Sign the closure certificate with the PMC and the client where required</t>
        </is>
      </c>
      <c r="D38" s="4" t="inlineStr"/>
      <c r="E38" s="13" t="inlineStr">
        <is>
          <t>Signed NCR closure certificate with the evidence index</t>
        </is>
      </c>
      <c r="F38" s="12" t="inlineStr">
        <is>
          <t>Contractor QA/QC manager</t>
        </is>
      </c>
      <c r="G38" s="41" t="inlineStr"/>
      <c r="H38" s="42" t="inlineStr">
        <is>
          <t>Not started</t>
        </is>
      </c>
      <c r="I38" s="42" t="inlineStr"/>
      <c r="J38" s="4" t="inlineStr"/>
    </row>
    <row r="39">
      <c r="A39" s="12" t="n">
        <v>35</v>
      </c>
      <c r="B39" s="13" t="inlineStr">
        <is>
          <t>H. Documentation and closure</t>
        </is>
      </c>
      <c r="C39" s="13" t="inlineStr">
        <is>
          <t>Update the contractor's own register to mirror the PMC register</t>
        </is>
      </c>
      <c r="D39" s="4" t="inlineStr"/>
      <c r="E39" s="13" t="inlineStr">
        <is>
          <t>Updated contractor register with the same identifier</t>
        </is>
      </c>
      <c r="F39" s="12" t="inlineStr">
        <is>
          <t>Contractor QA/QC manager</t>
        </is>
      </c>
      <c r="G39" s="41" t="inlineStr"/>
      <c r="H39" s="42" t="inlineStr">
        <is>
          <t>Not started</t>
        </is>
      </c>
      <c r="I39" s="42" t="inlineStr"/>
      <c r="J39" s="4" t="inlineStr"/>
    </row>
    <row r="40">
      <c r="A40" s="12" t="n">
        <v>36</v>
      </c>
      <c r="B40" s="13" t="inlineStr">
        <is>
          <t>I. Prevention and monitoring</t>
        </is>
      </c>
      <c r="C40" s="13" t="inlineStr">
        <is>
          <t>Implement the preventive action and record the effective date</t>
        </is>
      </c>
      <c r="D40" s="4" t="inlineStr"/>
      <c r="E40" s="13" t="inlineStr">
        <is>
          <t>Updated procedure, checklist, training record or hold point</t>
        </is>
      </c>
      <c r="F40" s="12" t="inlineStr">
        <is>
          <t>Contractor QA/QC manager</t>
        </is>
      </c>
      <c r="G40" s="41" t="inlineStr"/>
      <c r="H40" s="42" t="inlineStr">
        <is>
          <t>Not started</t>
        </is>
      </c>
      <c r="I40" s="42" t="inlineStr"/>
      <c r="J40" s="4" t="inlineStr"/>
    </row>
    <row r="41">
      <c r="A41" s="12" t="n">
        <v>37</v>
      </c>
      <c r="B41" s="13" t="inlineStr">
        <is>
          <t>I. Prevention and monitoring</t>
        </is>
      </c>
      <c r="C41" s="13" t="inlineStr">
        <is>
          <t>Verify effectiveness over a defined observation window</t>
        </is>
      </c>
      <c r="D41" s="4" t="inlineStr"/>
      <c r="E41" s="13" t="inlineStr">
        <is>
          <t>Follow-up inspection or audit result showing no recurrence</t>
        </is>
      </c>
      <c r="F41" s="12" t="inlineStr">
        <is>
          <t>Contractor QA/QC manager with PMC verification</t>
        </is>
      </c>
      <c r="G41" s="41" t="inlineStr"/>
      <c r="H41" s="42" t="inlineStr">
        <is>
          <t>Not started</t>
        </is>
      </c>
      <c r="I41" s="42" t="inlineStr"/>
      <c r="J41" s="4" t="inlineStr"/>
    </row>
    <row r="42">
      <c r="A42" s="12" t="n">
        <v>38</v>
      </c>
      <c r="B42" s="13" t="inlineStr">
        <is>
          <t>I. Prevention and monitoring</t>
        </is>
      </c>
      <c r="C42" s="13" t="inlineStr">
        <is>
          <t>Brief the relevant teams and subcontractors on the change</t>
        </is>
      </c>
      <c r="D42" s="4" t="inlineStr"/>
      <c r="E42" s="13" t="inlineStr">
        <is>
          <t>Attendance records and briefing material</t>
        </is>
      </c>
      <c r="F42" s="12" t="inlineStr">
        <is>
          <t>Contractor project manager</t>
        </is>
      </c>
      <c r="G42" s="41" t="inlineStr"/>
      <c r="H42" s="42" t="inlineStr">
        <is>
          <t>Not started</t>
        </is>
      </c>
      <c r="I42" s="42" t="inlineStr"/>
      <c r="J42" s="4" t="inlineStr"/>
    </row>
  </sheetData>
  <autoFilter ref="A4:J42"/>
  <dataValidations count="1">
    <dataValidation sqref="H5:H42" showDropDown="0" showInputMessage="0" showErrorMessage="0" allowBlank="1" type="list">
      <formula1>"Not started,In progress,Submitted,Accepted,Rejected,N-A"</formula1>
    </dataValidation>
  </dataValidations>
  <pageMargins left="0.75" right="0.75" top="1" bottom="1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D2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5" customWidth="1" min="2" max="2"/>
    <col width="13" customWidth="1" min="3" max="3"/>
    <col width="14" customWidth="1" min="4" max="4"/>
    <col width="12" customWidth="1" min="5" max="5"/>
    <col width="9" customWidth="1" min="6" max="6"/>
    <col width="9" customWidth="1" min="7" max="7"/>
    <col width="9" customWidth="1" min="8" max="8"/>
    <col width="8" customWidth="1" min="9" max="9"/>
    <col width="8" customWidth="1" min="10" max="10"/>
    <col width="8" customWidth="1" min="11" max="11"/>
    <col width="7" customWidth="1" min="12" max="12"/>
    <col width="11" customWidth="1" min="13" max="13"/>
    <col width="22" customWidth="1" min="14" max="14"/>
    <col width="9" customWidth="1" min="15" max="15"/>
    <col width="15" customWidth="1" min="16" max="16"/>
    <col width="10" customWidth="1" min="17" max="17"/>
    <col width="14" customWidth="1" min="18" max="18"/>
    <col width="8" customWidth="1" min="19" max="19"/>
    <col width="16" customWidth="1" min="20" max="20"/>
    <col width="9" customWidth="1" min="21" max="21"/>
    <col width="24" customWidth="1" min="22" max="22"/>
    <col width="12" customWidth="1" min="23" max="23"/>
    <col width="10" customWidth="1" min="24" max="24"/>
    <col width="10" customWidth="1" min="25" max="25"/>
    <col width="10" customWidth="1" min="26" max="26"/>
    <col width="12" customWidth="1" min="27" max="27"/>
    <col width="14" customWidth="1" min="28" max="28"/>
    <col width="12" customWidth="1" min="29" max="29"/>
    <col width="22" customWidth="1" min="30" max="30"/>
  </cols>
  <sheetData>
    <row r="1" ht="22" customHeight="1">
      <c r="A1" s="43" t="inlineStr">
        <is>
          <t>16. Retrospective closure audit tracker</t>
        </is>
      </c>
    </row>
    <row r="2" ht="28" customHeight="1">
      <c r="A2" s="44" t="inlineStr">
        <is>
          <t>One row per closed NCR. Amber cells are manual inputs; score columns drive the tier. Tier 1 (18 or more) is mandatory 100 per cent verification; Tier 2 (10 to 17) is targeted; Tier 3 (9 or less) is statistical, plus any item carrying a red flag or a missing record. Tiers, dispositions and test methods follow the protocol PMC-QA-AUD-004, Appendix B, G and E.</t>
        </is>
      </c>
    </row>
    <row r="4" ht="34" customHeight="1">
      <c r="A4" s="45" t="inlineStr">
        <is>
          <t>NCR ref</t>
        </is>
      </c>
      <c r="B4" s="45" t="inlineStr">
        <is>
          <t>Rev</t>
        </is>
      </c>
      <c r="C4" s="45" t="inlineStr">
        <is>
          <t>Element</t>
        </is>
      </c>
      <c r="D4" s="45" t="inlineStr">
        <is>
          <t>Location / level</t>
        </is>
      </c>
      <c r="E4" s="45" t="inlineStr">
        <is>
          <t>Works class</t>
        </is>
      </c>
      <c r="F4" s="45" t="inlineStr">
        <is>
          <t>Authority linked (Y/N)</t>
        </is>
      </c>
      <c r="G4" s="45" t="inlineStr">
        <is>
          <t>Payment linked (Y/N)</t>
        </is>
      </c>
      <c r="H4" s="45" t="inlineStr">
        <is>
          <t>Concealed (Y/N)</t>
        </is>
      </c>
      <c r="I4" s="45" t="inlineStr">
        <is>
          <t>Impact score (0-24)</t>
        </is>
      </c>
      <c r="J4" s="45" t="inlineStr">
        <is>
          <t>Evidence weakness (0-12)</t>
        </is>
      </c>
      <c r="K4" s="45" t="inlineStr">
        <is>
          <t>Total score</t>
        </is>
      </c>
      <c r="L4" s="45" t="inlineStr">
        <is>
          <t>Tier (1/2/3)</t>
        </is>
      </c>
      <c r="M4" s="45" t="inlineStr">
        <is>
          <t>Evidence status</t>
        </is>
      </c>
      <c r="N4" s="45" t="inlineStr">
        <is>
          <t>Evidence gap named</t>
        </is>
      </c>
      <c r="O4" s="45" t="inlineStr">
        <is>
          <t>Forensic red flag (Y/N)</t>
        </is>
      </c>
      <c r="P4" s="45" t="inlineStr">
        <is>
          <t>Test method (App. E)</t>
        </is>
      </c>
      <c r="Q4" s="45" t="inlineStr">
        <is>
          <t>Test date</t>
        </is>
      </c>
      <c r="R4" s="45" t="inlineStr">
        <is>
          <t>Result</t>
        </is>
      </c>
      <c r="S4" s="45" t="inlineStr">
        <is>
          <t>Pass / fail</t>
        </is>
      </c>
      <c r="T4" s="45" t="inlineStr">
        <is>
          <t>Designer: stability or safety affected?</t>
        </is>
      </c>
      <c r="U4" s="45" t="inlineStr">
        <is>
          <t>Disposition (A-F)</t>
        </is>
      </c>
      <c r="V4" s="45" t="inlineStr">
        <is>
          <t>Required action</t>
        </is>
      </c>
      <c r="W4" s="45" t="inlineStr">
        <is>
          <t>Action owner</t>
        </is>
      </c>
      <c r="X4" s="45" t="inlineStr">
        <is>
          <t>Target date</t>
        </is>
      </c>
      <c r="Y4" s="45" t="inlineStr">
        <is>
          <t>Status</t>
        </is>
      </c>
      <c r="Z4" s="45" t="inlineStr">
        <is>
          <t>Re-test date</t>
        </is>
      </c>
      <c r="AA4" s="45" t="inlineStr">
        <is>
          <t>Re-test result</t>
        </is>
      </c>
      <c r="AB4" s="45" t="inlineStr">
        <is>
          <t>Retrospective certificate ref</t>
        </is>
      </c>
      <c r="AC4" s="45" t="inlineStr">
        <is>
          <t>Decennial review date</t>
        </is>
      </c>
      <c r="AD4" s="45" t="inlineStr">
        <is>
          <t>Notes</t>
        </is>
      </c>
    </row>
    <row r="5">
      <c r="A5" s="46" t="inlineStr">
        <is>
          <t>NCR-0142</t>
        </is>
      </c>
      <c r="B5" s="46" t="inlineStr">
        <is>
          <t>B</t>
        </is>
      </c>
      <c r="C5" s="46" t="inlineStr">
        <is>
          <t>Structural - raft</t>
        </is>
      </c>
      <c r="D5" s="46" t="inlineStr">
        <is>
          <t>Zone 3, grid F7</t>
        </is>
      </c>
      <c r="E5" s="46" t="inlineStr">
        <is>
          <t>Structural</t>
        </is>
      </c>
      <c r="F5" s="46" t="inlineStr">
        <is>
          <t>Y</t>
        </is>
      </c>
      <c r="G5" s="46" t="inlineStr">
        <is>
          <t>Y</t>
        </is>
      </c>
      <c r="H5" s="46" t="inlineStr">
        <is>
          <t>Y</t>
        </is>
      </c>
      <c r="I5" s="46" t="n">
        <v>18</v>
      </c>
      <c r="J5" s="46" t="n">
        <v>10</v>
      </c>
      <c r="K5" s="47">
        <f>IF(COUNT(I5:J5)=2,I5+J5,"")</f>
        <v/>
      </c>
      <c r="L5" s="48">
        <f>IF(K5="","",IF(K5&gt;=18,1,IF(K5&gt;=10,2,3)))</f>
        <v/>
      </c>
      <c r="M5" s="46" t="inlineStr">
        <is>
          <t>Absent</t>
        </is>
      </c>
      <c r="N5" s="46" t="inlineStr">
        <is>
          <t>Cube results and pour card not traceable</t>
        </is>
      </c>
      <c r="O5" s="46" t="inlineStr">
        <is>
          <t>Y</t>
        </is>
      </c>
      <c r="P5" s="46" t="inlineStr">
        <is>
          <t>Core compressive strength</t>
        </is>
      </c>
      <c r="Q5" s="46" t="inlineStr"/>
      <c r="R5" s="46" t="inlineStr"/>
      <c r="S5" s="46" t="inlineStr"/>
      <c r="T5" s="46" t="inlineStr">
        <is>
          <t>Designer confirms the core results meet the specified strength; durability accepted with monitoring</t>
        </is>
      </c>
      <c r="U5" s="46" t="inlineStr">
        <is>
          <t>C</t>
        </is>
      </c>
      <c r="V5" s="46" t="inlineStr">
        <is>
          <t>Rectify or accept with monitoring; issue the retrospective closure certificate</t>
        </is>
      </c>
      <c r="W5" s="46" t="inlineStr">
        <is>
          <t>Contractor QA Manager, verified by PMC</t>
        </is>
      </c>
      <c r="X5" s="46" t="inlineStr"/>
      <c r="Y5" s="46" t="inlineStr">
        <is>
          <t>Rectification required</t>
        </is>
      </c>
      <c r="Z5" s="46" t="inlineStr"/>
      <c r="AA5" s="46" t="inlineStr"/>
      <c r="AB5" s="46" t="inlineStr"/>
      <c r="AC5" s="46" t="inlineStr"/>
      <c r="AD5" s="46" t="inlineStr">
        <is>
          <t>Sample row - delete before use</t>
        </is>
      </c>
    </row>
    <row r="6">
      <c r="A6" s="46" t="inlineStr">
        <is>
          <t>NCR-0157</t>
        </is>
      </c>
      <c r="B6" s="46" t="inlineStr">
        <is>
          <t>A</t>
        </is>
      </c>
      <c r="C6" s="46" t="inlineStr">
        <is>
          <t>Waterproofing - podium</t>
        </is>
      </c>
      <c r="D6" s="46" t="inlineStr">
        <is>
          <t>Podium, level 2 slab</t>
        </is>
      </c>
      <c r="E6" s="46" t="inlineStr">
        <is>
          <t>Waterproofing</t>
        </is>
      </c>
      <c r="F6" s="46" t="inlineStr">
        <is>
          <t>N</t>
        </is>
      </c>
      <c r="G6" s="46" t="inlineStr">
        <is>
          <t>Y</t>
        </is>
      </c>
      <c r="H6" s="46" t="inlineStr">
        <is>
          <t>Y</t>
        </is>
      </c>
      <c r="I6" s="46" t="n">
        <v>9</v>
      </c>
      <c r="J6" s="46" t="n">
        <v>6</v>
      </c>
      <c r="K6" s="49">
        <f>IF(COUNT(I6:J6)=2,I6+J6,"")</f>
        <v/>
      </c>
      <c r="L6" s="50">
        <f>IF(K6="","",IF(K6&gt;=18,1,IF(K6&gt;=10,2,3)))</f>
        <v/>
      </c>
      <c r="M6" s="46" t="inlineStr">
        <is>
          <t>Partial</t>
        </is>
      </c>
      <c r="N6" s="46" t="inlineStr">
        <is>
          <t>No flood test record before covering</t>
        </is>
      </c>
      <c r="O6" s="46" t="inlineStr">
        <is>
          <t>N</t>
        </is>
      </c>
      <c r="P6" s="46" t="inlineStr">
        <is>
          <t>Flood test + thermography</t>
        </is>
      </c>
      <c r="Q6" s="46" t="inlineStr"/>
      <c r="R6" s="46" t="inlineStr"/>
      <c r="S6" s="46" t="inlineStr"/>
      <c r="T6" s="46" t="inlineStr">
        <is>
          <t>Specialist confirms the membrane is intact</t>
        </is>
      </c>
      <c r="U6" s="46" t="inlineStr">
        <is>
          <t>B</t>
        </is>
      </c>
      <c r="V6" s="46" t="inlineStr">
        <is>
          <t>Re-inspect and produce the missing flood test record</t>
        </is>
      </c>
      <c r="W6" s="46" t="inlineStr">
        <is>
          <t>PMC Resident Engineer</t>
        </is>
      </c>
      <c r="X6" s="46" t="inlineStr"/>
      <c r="Y6" s="46" t="inlineStr">
        <is>
          <t>In verification</t>
        </is>
      </c>
      <c r="Z6" s="46" t="inlineStr"/>
      <c r="AA6" s="46" t="inlineStr"/>
      <c r="AB6" s="46" t="inlineStr"/>
      <c r="AC6" s="46" t="inlineStr"/>
      <c r="AD6" s="46" t="inlineStr">
        <is>
          <t>Sample row - delete before use</t>
        </is>
      </c>
    </row>
    <row r="7">
      <c r="A7" s="46" t="inlineStr">
        <is>
          <t>NCR-0203</t>
        </is>
      </c>
      <c r="B7" s="46" t="inlineStr">
        <is>
          <t>C</t>
        </is>
      </c>
      <c r="C7" s="46" t="inlineStr">
        <is>
          <t>Fire stopping - riser</t>
        </is>
      </c>
      <c r="D7" s="46" t="inlineStr">
        <is>
          <t>Core, level 5 riser</t>
        </is>
      </c>
      <c r="E7" s="46" t="inlineStr">
        <is>
          <t>Fire and life safety</t>
        </is>
      </c>
      <c r="F7" s="46" t="inlineStr">
        <is>
          <t>Y</t>
        </is>
      </c>
      <c r="G7" s="46" t="inlineStr">
        <is>
          <t>N</t>
        </is>
      </c>
      <c r="H7" s="46" t="inlineStr">
        <is>
          <t>Y</t>
        </is>
      </c>
      <c r="I7" s="46" t="n">
        <v>13</v>
      </c>
      <c r="J7" s="46" t="n">
        <v>5</v>
      </c>
      <c r="K7" s="47">
        <f>IF(COUNT(I7:J7)=2,I7+J7,"")</f>
        <v/>
      </c>
      <c r="L7" s="48">
        <f>IF(K7="","",IF(K7&gt;=18,1,IF(K7&gt;=10,2,3)))</f>
        <v/>
      </c>
      <c r="M7" s="46" t="inlineStr">
        <is>
          <t>Partial</t>
        </is>
      </c>
      <c r="N7" s="46" t="inlineStr">
        <is>
          <t>Penetration seal system reference missing</t>
        </is>
      </c>
      <c r="O7" s="46" t="inlineStr">
        <is>
          <t>N</t>
        </is>
      </c>
      <c r="P7" s="46" t="inlineStr">
        <is>
          <t>Physical inspection + system verification</t>
        </is>
      </c>
      <c r="Q7" s="46" t="inlineStr"/>
      <c r="R7" s="46" t="inlineStr"/>
      <c r="S7" s="46" t="inlineStr"/>
      <c r="T7" s="46" t="inlineStr">
        <is>
          <t>Fire specialist confirms the seals match the approved system</t>
        </is>
      </c>
      <c r="U7" s="46" t="inlineStr">
        <is>
          <t>B</t>
        </is>
      </c>
      <c r="V7" s="46" t="inlineStr">
        <is>
          <t>Re-inspect 100 per cent of penetrations and file the system references</t>
        </is>
      </c>
      <c r="W7" s="46" t="inlineStr">
        <is>
          <t>Contractor QA/QC Manager</t>
        </is>
      </c>
      <c r="X7" s="46" t="inlineStr"/>
      <c r="Y7" s="46" t="inlineStr">
        <is>
          <t>In verification</t>
        </is>
      </c>
      <c r="Z7" s="46" t="inlineStr"/>
      <c r="AA7" s="46" t="inlineStr"/>
      <c r="AB7" s="46" t="inlineStr"/>
      <c r="AC7" s="46" t="inlineStr"/>
      <c r="AD7" s="46" t="inlineStr">
        <is>
          <t>Sample row - delete before use</t>
        </is>
      </c>
    </row>
    <row r="8">
      <c r="K8" s="51">
        <f>IF(COUNT(I8:J8)=2,I8+J8,"")</f>
        <v/>
      </c>
      <c r="L8" s="52">
        <f>IF(K8="","",IF(K8&gt;=18,1,IF(K8&gt;=10,2,3)))</f>
        <v/>
      </c>
    </row>
    <row r="9">
      <c r="K9" s="51">
        <f>IF(COUNT(I9:J9)=2,I9+J9,"")</f>
        <v/>
      </c>
      <c r="L9" s="52">
        <f>IF(K9="","",IF(K9&gt;=18,1,IF(K9&gt;=10,2,3)))</f>
        <v/>
      </c>
    </row>
    <row r="10">
      <c r="K10" s="51">
        <f>IF(COUNT(I10:J10)=2,I10+J10,"")</f>
        <v/>
      </c>
      <c r="L10" s="52">
        <f>IF(K10="","",IF(K10&gt;=18,1,IF(K10&gt;=10,2,3)))</f>
        <v/>
      </c>
    </row>
    <row r="11">
      <c r="K11" s="51">
        <f>IF(COUNT(I11:J11)=2,I11+J11,"")</f>
        <v/>
      </c>
      <c r="L11" s="52">
        <f>IF(K11="","",IF(K11&gt;=18,1,IF(K11&gt;=10,2,3)))</f>
        <v/>
      </c>
    </row>
    <row r="12">
      <c r="K12" s="51">
        <f>IF(COUNT(I12:J12)=2,I12+J12,"")</f>
        <v/>
      </c>
      <c r="L12" s="52">
        <f>IF(K12="","",IF(K12&gt;=18,1,IF(K12&gt;=10,2,3)))</f>
        <v/>
      </c>
    </row>
    <row r="13">
      <c r="K13" s="51">
        <f>IF(COUNT(I13:J13)=2,I13+J13,"")</f>
        <v/>
      </c>
      <c r="L13" s="52">
        <f>IF(K13="","",IF(K13&gt;=18,1,IF(K13&gt;=10,2,3)))</f>
        <v/>
      </c>
    </row>
    <row r="14">
      <c r="K14" s="51">
        <f>IF(COUNT(I14:J14)=2,I14+J14,"")</f>
        <v/>
      </c>
      <c r="L14" s="52">
        <f>IF(K14="","",IF(K14&gt;=18,1,IF(K14&gt;=10,2,3)))</f>
        <v/>
      </c>
    </row>
    <row r="15">
      <c r="K15" s="51">
        <f>IF(COUNT(I15:J15)=2,I15+J15,"")</f>
        <v/>
      </c>
      <c r="L15" s="52">
        <f>IF(K15="","",IF(K15&gt;=18,1,IF(K15&gt;=10,2,3)))</f>
        <v/>
      </c>
    </row>
    <row r="16">
      <c r="K16" s="51">
        <f>IF(COUNT(I16:J16)=2,I16+J16,"")</f>
        <v/>
      </c>
      <c r="L16" s="52">
        <f>IF(K16="","",IF(K16&gt;=18,1,IF(K16&gt;=10,2,3)))</f>
        <v/>
      </c>
    </row>
    <row r="17">
      <c r="K17" s="51">
        <f>IF(COUNT(I17:J17)=2,I17+J17,"")</f>
        <v/>
      </c>
      <c r="L17" s="52">
        <f>IF(K17="","",IF(K17&gt;=18,1,IF(K17&gt;=10,2,3)))</f>
        <v/>
      </c>
    </row>
    <row r="18">
      <c r="K18" s="51">
        <f>IF(COUNT(I18:J18)=2,I18+J18,"")</f>
        <v/>
      </c>
      <c r="L18" s="52">
        <f>IF(K18="","",IF(K18&gt;=18,1,IF(K18&gt;=10,2,3)))</f>
        <v/>
      </c>
    </row>
    <row r="19">
      <c r="K19" s="51">
        <f>IF(COUNT(I19:J19)=2,I19+J19,"")</f>
        <v/>
      </c>
      <c r="L19" s="52">
        <f>IF(K19="","",IF(K19&gt;=18,1,IF(K19&gt;=10,2,3)))</f>
        <v/>
      </c>
    </row>
    <row r="20">
      <c r="K20" s="51">
        <f>IF(COUNT(I20:J20)=2,I20+J20,"")</f>
        <v/>
      </c>
      <c r="L20" s="52">
        <f>IF(K20="","",IF(K20&gt;=18,1,IF(K20&gt;=10,2,3)))</f>
        <v/>
      </c>
    </row>
    <row r="21">
      <c r="K21" s="51">
        <f>IF(COUNT(I21:J21)=2,I21+J21,"")</f>
        <v/>
      </c>
      <c r="L21" s="52">
        <f>IF(K21="","",IF(K21&gt;=18,1,IF(K21&gt;=10,2,3)))</f>
        <v/>
      </c>
    </row>
    <row r="22">
      <c r="K22" s="51">
        <f>IF(COUNT(I22:J22)=2,I22+J22,"")</f>
        <v/>
      </c>
      <c r="L22" s="52">
        <f>IF(K22="","",IF(K22&gt;=18,1,IF(K22&gt;=10,2,3)))</f>
        <v/>
      </c>
    </row>
    <row r="23">
      <c r="K23" s="51">
        <f>IF(COUNT(I23:J23)=2,I23+J23,"")</f>
        <v/>
      </c>
      <c r="L23" s="52">
        <f>IF(K23="","",IF(K23&gt;=18,1,IF(K23&gt;=10,2,3)))</f>
        <v/>
      </c>
    </row>
    <row r="24">
      <c r="K24" s="51">
        <f>IF(COUNT(I24:J24)=2,I24+J24,"")</f>
        <v/>
      </c>
      <c r="L24" s="52">
        <f>IF(K24="","",IF(K24&gt;=18,1,IF(K24&gt;=10,2,3)))</f>
        <v/>
      </c>
    </row>
    <row r="25">
      <c r="K25" s="51">
        <f>IF(COUNT(I25:J25)=2,I25+J25,"")</f>
        <v/>
      </c>
      <c r="L25" s="52">
        <f>IF(K25="","",IF(K25&gt;=18,1,IF(K25&gt;=10,2,3)))</f>
        <v/>
      </c>
    </row>
    <row r="26">
      <c r="K26" s="51">
        <f>IF(COUNT(I26:J26)=2,I26+J26,"")</f>
        <v/>
      </c>
      <c r="L26" s="52">
        <f>IF(K26="","",IF(K26&gt;=18,1,IF(K26&gt;=10,2,3)))</f>
        <v/>
      </c>
    </row>
    <row r="27">
      <c r="K27" s="51">
        <f>IF(COUNT(I27:J27)=2,I27+J27,"")</f>
        <v/>
      </c>
      <c r="L27" s="52">
        <f>IF(K27="","",IF(K27&gt;=18,1,IF(K27&gt;=10,2,3)))</f>
        <v/>
      </c>
    </row>
    <row r="28">
      <c r="K28" s="51">
        <f>IF(COUNT(I28:J28)=2,I28+J28,"")</f>
        <v/>
      </c>
      <c r="L28" s="52">
        <f>IF(K28="","",IF(K28&gt;=18,1,IF(K28&gt;=10,2,3)))</f>
        <v/>
      </c>
    </row>
    <row r="29">
      <c r="K29" s="51">
        <f>IF(COUNT(I29:J29)=2,I29+J29,"")</f>
        <v/>
      </c>
      <c r="L29" s="52">
        <f>IF(K29="","",IF(K29&gt;=18,1,IF(K29&gt;=10,2,3)))</f>
        <v/>
      </c>
    </row>
    <row r="30">
      <c r="K30" s="51">
        <f>IF(COUNT(I30:J30)=2,I30+J30,"")</f>
        <v/>
      </c>
      <c r="L30" s="52">
        <f>IF(K30="","",IF(K30&gt;=18,1,IF(K30&gt;=10,2,3)))</f>
        <v/>
      </c>
    </row>
    <row r="31">
      <c r="K31" s="51">
        <f>IF(COUNT(I31:J31)=2,I31+J31,"")</f>
        <v/>
      </c>
      <c r="L31" s="52">
        <f>IF(K31="","",IF(K31&gt;=18,1,IF(K31&gt;=10,2,3)))</f>
        <v/>
      </c>
    </row>
    <row r="32">
      <c r="K32" s="51">
        <f>IF(COUNT(I32:J32)=2,I32+J32,"")</f>
        <v/>
      </c>
      <c r="L32" s="52">
        <f>IF(K32="","",IF(K32&gt;=18,1,IF(K32&gt;=10,2,3)))</f>
        <v/>
      </c>
    </row>
    <row r="33">
      <c r="K33" s="51">
        <f>IF(COUNT(I33:J33)=2,I33+J33,"")</f>
        <v/>
      </c>
      <c r="L33" s="52">
        <f>IF(K33="","",IF(K33&gt;=18,1,IF(K33&gt;=10,2,3)))</f>
        <v/>
      </c>
    </row>
    <row r="34">
      <c r="K34" s="51">
        <f>IF(COUNT(I34:J34)=2,I34+J34,"")</f>
        <v/>
      </c>
      <c r="L34" s="52">
        <f>IF(K34="","",IF(K34&gt;=18,1,IF(K34&gt;=10,2,3)))</f>
        <v/>
      </c>
    </row>
    <row r="35">
      <c r="K35" s="51">
        <f>IF(COUNT(I35:J35)=2,I35+J35,"")</f>
        <v/>
      </c>
      <c r="L35" s="52">
        <f>IF(K35="","",IF(K35&gt;=18,1,IF(K35&gt;=10,2,3)))</f>
        <v/>
      </c>
    </row>
    <row r="36">
      <c r="K36" s="51">
        <f>IF(COUNT(I36:J36)=2,I36+J36,"")</f>
        <v/>
      </c>
      <c r="L36" s="52">
        <f>IF(K36="","",IF(K36&gt;=18,1,IF(K36&gt;=10,2,3)))</f>
        <v/>
      </c>
    </row>
    <row r="37">
      <c r="K37" s="51">
        <f>IF(COUNT(I37:J37)=2,I37+J37,"")</f>
        <v/>
      </c>
      <c r="L37" s="52">
        <f>IF(K37="","",IF(K37&gt;=18,1,IF(K37&gt;=10,2,3)))</f>
        <v/>
      </c>
    </row>
    <row r="38">
      <c r="K38" s="51">
        <f>IF(COUNT(I38:J38)=2,I38+J38,"")</f>
        <v/>
      </c>
      <c r="L38" s="52">
        <f>IF(K38="","",IF(K38&gt;=18,1,IF(K38&gt;=10,2,3)))</f>
        <v/>
      </c>
    </row>
    <row r="39">
      <c r="K39" s="51">
        <f>IF(COUNT(I39:J39)=2,I39+J39,"")</f>
        <v/>
      </c>
      <c r="L39" s="52">
        <f>IF(K39="","",IF(K39&gt;=18,1,IF(K39&gt;=10,2,3)))</f>
        <v/>
      </c>
    </row>
    <row r="40">
      <c r="K40" s="51">
        <f>IF(COUNT(I40:J40)=2,I40+J40,"")</f>
        <v/>
      </c>
      <c r="L40" s="52">
        <f>IF(K40="","",IF(K40&gt;=18,1,IF(K40&gt;=10,2,3)))</f>
        <v/>
      </c>
    </row>
    <row r="41">
      <c r="K41" s="51">
        <f>IF(COUNT(I41:J41)=2,I41+J41,"")</f>
        <v/>
      </c>
      <c r="L41" s="52">
        <f>IF(K41="","",IF(K41&gt;=18,1,IF(K41&gt;=10,2,3)))</f>
        <v/>
      </c>
    </row>
    <row r="42">
      <c r="K42" s="51">
        <f>IF(COUNT(I42:J42)=2,I42+J42,"")</f>
        <v/>
      </c>
      <c r="L42" s="52">
        <f>IF(K42="","",IF(K42&gt;=18,1,IF(K42&gt;=10,2,3)))</f>
        <v/>
      </c>
    </row>
    <row r="43">
      <c r="K43" s="51">
        <f>IF(COUNT(I43:J43)=2,I43+J43,"")</f>
        <v/>
      </c>
      <c r="L43" s="52">
        <f>IF(K43="","",IF(K43&gt;=18,1,IF(K43&gt;=10,2,3)))</f>
        <v/>
      </c>
    </row>
    <row r="44">
      <c r="K44" s="51">
        <f>IF(COUNT(I44:J44)=2,I44+J44,"")</f>
        <v/>
      </c>
      <c r="L44" s="52">
        <f>IF(K44="","",IF(K44&gt;=18,1,IF(K44&gt;=10,2,3)))</f>
        <v/>
      </c>
    </row>
    <row r="45">
      <c r="K45" s="51">
        <f>IF(COUNT(I45:J45)=2,I45+J45,"")</f>
        <v/>
      </c>
      <c r="L45" s="52">
        <f>IF(K45="","",IF(K45&gt;=18,1,IF(K45&gt;=10,2,3)))</f>
        <v/>
      </c>
    </row>
    <row r="46">
      <c r="K46" s="51">
        <f>IF(COUNT(I46:J46)=2,I46+J46,"")</f>
        <v/>
      </c>
      <c r="L46" s="52">
        <f>IF(K46="","",IF(K46&gt;=18,1,IF(K46&gt;=10,2,3)))</f>
        <v/>
      </c>
    </row>
    <row r="47">
      <c r="K47" s="51">
        <f>IF(COUNT(I47:J47)=2,I47+J47,"")</f>
        <v/>
      </c>
      <c r="L47" s="52">
        <f>IF(K47="","",IF(K47&gt;=18,1,IF(K47&gt;=10,2,3)))</f>
        <v/>
      </c>
    </row>
    <row r="48">
      <c r="K48" s="51">
        <f>IF(COUNT(I48:J48)=2,I48+J48,"")</f>
        <v/>
      </c>
      <c r="L48" s="52">
        <f>IF(K48="","",IF(K48&gt;=18,1,IF(K48&gt;=10,2,3)))</f>
        <v/>
      </c>
    </row>
    <row r="49">
      <c r="K49" s="51">
        <f>IF(COUNT(I49:J49)=2,I49+J49,"")</f>
        <v/>
      </c>
      <c r="L49" s="52">
        <f>IF(K49="","",IF(K49&gt;=18,1,IF(K49&gt;=10,2,3)))</f>
        <v/>
      </c>
    </row>
    <row r="50">
      <c r="K50" s="51">
        <f>IF(COUNT(I50:J50)=2,I50+J50,"")</f>
        <v/>
      </c>
      <c r="L50" s="52">
        <f>IF(K50="","",IF(K50&gt;=18,1,IF(K50&gt;=10,2,3)))</f>
        <v/>
      </c>
    </row>
    <row r="51">
      <c r="K51" s="51">
        <f>IF(COUNT(I51:J51)=2,I51+J51,"")</f>
        <v/>
      </c>
      <c r="L51" s="52">
        <f>IF(K51="","",IF(K51&gt;=18,1,IF(K51&gt;=10,2,3)))</f>
        <v/>
      </c>
    </row>
    <row r="52">
      <c r="K52" s="51">
        <f>IF(COUNT(I52:J52)=2,I52+J52,"")</f>
        <v/>
      </c>
      <c r="L52" s="52">
        <f>IF(K52="","",IF(K52&gt;=18,1,IF(K52&gt;=10,2,3)))</f>
        <v/>
      </c>
    </row>
    <row r="53">
      <c r="K53" s="51">
        <f>IF(COUNT(I53:J53)=2,I53+J53,"")</f>
        <v/>
      </c>
      <c r="L53" s="52">
        <f>IF(K53="","",IF(K53&gt;=18,1,IF(K53&gt;=10,2,3)))</f>
        <v/>
      </c>
    </row>
    <row r="54">
      <c r="K54" s="51">
        <f>IF(COUNT(I54:J54)=2,I54+J54,"")</f>
        <v/>
      </c>
      <c r="L54" s="52">
        <f>IF(K54="","",IF(K54&gt;=18,1,IF(K54&gt;=10,2,3)))</f>
        <v/>
      </c>
    </row>
    <row r="55">
      <c r="K55" s="51">
        <f>IF(COUNT(I55:J55)=2,I55+J55,"")</f>
        <v/>
      </c>
      <c r="L55" s="52">
        <f>IF(K55="","",IF(K55&gt;=18,1,IF(K55&gt;=10,2,3)))</f>
        <v/>
      </c>
    </row>
    <row r="56">
      <c r="K56" s="51">
        <f>IF(COUNT(I56:J56)=2,I56+J56,"")</f>
        <v/>
      </c>
      <c r="L56" s="52">
        <f>IF(K56="","",IF(K56&gt;=18,1,IF(K56&gt;=10,2,3)))</f>
        <v/>
      </c>
    </row>
    <row r="57">
      <c r="K57" s="51">
        <f>IF(COUNT(I57:J57)=2,I57+J57,"")</f>
        <v/>
      </c>
      <c r="L57" s="52">
        <f>IF(K57="","",IF(K57&gt;=18,1,IF(K57&gt;=10,2,3)))</f>
        <v/>
      </c>
    </row>
    <row r="58">
      <c r="K58" s="51">
        <f>IF(COUNT(I58:J58)=2,I58+J58,"")</f>
        <v/>
      </c>
      <c r="L58" s="52">
        <f>IF(K58="","",IF(K58&gt;=18,1,IF(K58&gt;=10,2,3)))</f>
        <v/>
      </c>
    </row>
    <row r="59">
      <c r="K59" s="51">
        <f>IF(COUNT(I59:J59)=2,I59+J59,"")</f>
        <v/>
      </c>
      <c r="L59" s="52">
        <f>IF(K59="","",IF(K59&gt;=18,1,IF(K59&gt;=10,2,3)))</f>
        <v/>
      </c>
    </row>
    <row r="60">
      <c r="K60" s="51">
        <f>IF(COUNT(I60:J60)=2,I60+J60,"")</f>
        <v/>
      </c>
      <c r="L60" s="52">
        <f>IF(K60="","",IF(K60&gt;=18,1,IF(K60&gt;=10,2,3)))</f>
        <v/>
      </c>
    </row>
    <row r="61">
      <c r="K61" s="51">
        <f>IF(COUNT(I61:J61)=2,I61+J61,"")</f>
        <v/>
      </c>
      <c r="L61" s="52">
        <f>IF(K61="","",IF(K61&gt;=18,1,IF(K61&gt;=10,2,3)))</f>
        <v/>
      </c>
    </row>
    <row r="62">
      <c r="K62" s="51">
        <f>IF(COUNT(I62:J62)=2,I62+J62,"")</f>
        <v/>
      </c>
      <c r="L62" s="52">
        <f>IF(K62="","",IF(K62&gt;=18,1,IF(K62&gt;=10,2,3)))</f>
        <v/>
      </c>
    </row>
    <row r="63">
      <c r="K63" s="51">
        <f>IF(COUNT(I63:J63)=2,I63+J63,"")</f>
        <v/>
      </c>
      <c r="L63" s="52">
        <f>IF(K63="","",IF(K63&gt;=18,1,IF(K63&gt;=10,2,3)))</f>
        <v/>
      </c>
    </row>
    <row r="64">
      <c r="K64" s="51">
        <f>IF(COUNT(I64:J64)=2,I64+J64,"")</f>
        <v/>
      </c>
      <c r="L64" s="52">
        <f>IF(K64="","",IF(K64&gt;=18,1,IF(K64&gt;=10,2,3)))</f>
        <v/>
      </c>
    </row>
    <row r="65">
      <c r="K65" s="51">
        <f>IF(COUNT(I65:J65)=2,I65+J65,"")</f>
        <v/>
      </c>
      <c r="L65" s="52">
        <f>IF(K65="","",IF(K65&gt;=18,1,IF(K65&gt;=10,2,3)))</f>
        <v/>
      </c>
    </row>
    <row r="66">
      <c r="K66" s="51">
        <f>IF(COUNT(I66:J66)=2,I66+J66,"")</f>
        <v/>
      </c>
      <c r="L66" s="52">
        <f>IF(K66="","",IF(K66&gt;=18,1,IF(K66&gt;=10,2,3)))</f>
        <v/>
      </c>
    </row>
    <row r="67">
      <c r="K67" s="51">
        <f>IF(COUNT(I67:J67)=2,I67+J67,"")</f>
        <v/>
      </c>
      <c r="L67" s="52">
        <f>IF(K67="","",IF(K67&gt;=18,1,IF(K67&gt;=10,2,3)))</f>
        <v/>
      </c>
    </row>
    <row r="68">
      <c r="K68" s="51">
        <f>IF(COUNT(I68:J68)=2,I68+J68,"")</f>
        <v/>
      </c>
      <c r="L68" s="52">
        <f>IF(K68="","",IF(K68&gt;=18,1,IF(K68&gt;=10,2,3)))</f>
        <v/>
      </c>
    </row>
    <row r="69">
      <c r="K69" s="51">
        <f>IF(COUNT(I69:J69)=2,I69+J69,"")</f>
        <v/>
      </c>
      <c r="L69" s="52">
        <f>IF(K69="","",IF(K69&gt;=18,1,IF(K69&gt;=10,2,3)))</f>
        <v/>
      </c>
    </row>
    <row r="70">
      <c r="K70" s="51">
        <f>IF(COUNT(I70:J70)=2,I70+J70,"")</f>
        <v/>
      </c>
      <c r="L70" s="52">
        <f>IF(K70="","",IF(K70&gt;=18,1,IF(K70&gt;=10,2,3)))</f>
        <v/>
      </c>
    </row>
    <row r="71">
      <c r="K71" s="51">
        <f>IF(COUNT(I71:J71)=2,I71+J71,"")</f>
        <v/>
      </c>
      <c r="L71" s="52">
        <f>IF(K71="","",IF(K71&gt;=18,1,IF(K71&gt;=10,2,3)))</f>
        <v/>
      </c>
    </row>
    <row r="72">
      <c r="K72" s="51">
        <f>IF(COUNT(I72:J72)=2,I72+J72,"")</f>
        <v/>
      </c>
      <c r="L72" s="52">
        <f>IF(K72="","",IF(K72&gt;=18,1,IF(K72&gt;=10,2,3)))</f>
        <v/>
      </c>
    </row>
    <row r="73">
      <c r="K73" s="51">
        <f>IF(COUNT(I73:J73)=2,I73+J73,"")</f>
        <v/>
      </c>
      <c r="L73" s="52">
        <f>IF(K73="","",IF(K73&gt;=18,1,IF(K73&gt;=10,2,3)))</f>
        <v/>
      </c>
    </row>
    <row r="74">
      <c r="K74" s="51">
        <f>IF(COUNT(I74:J74)=2,I74+J74,"")</f>
        <v/>
      </c>
      <c r="L74" s="52">
        <f>IF(K74="","",IF(K74&gt;=18,1,IF(K74&gt;=10,2,3)))</f>
        <v/>
      </c>
    </row>
    <row r="75">
      <c r="K75" s="51">
        <f>IF(COUNT(I75:J75)=2,I75+J75,"")</f>
        <v/>
      </c>
      <c r="L75" s="52">
        <f>IF(K75="","",IF(K75&gt;=18,1,IF(K75&gt;=10,2,3)))</f>
        <v/>
      </c>
    </row>
    <row r="76">
      <c r="K76" s="51">
        <f>IF(COUNT(I76:J76)=2,I76+J76,"")</f>
        <v/>
      </c>
      <c r="L76" s="52">
        <f>IF(K76="","",IF(K76&gt;=18,1,IF(K76&gt;=10,2,3)))</f>
        <v/>
      </c>
    </row>
    <row r="77">
      <c r="K77" s="51">
        <f>IF(COUNT(I77:J77)=2,I77+J77,"")</f>
        <v/>
      </c>
      <c r="L77" s="52">
        <f>IF(K77="","",IF(K77&gt;=18,1,IF(K77&gt;=10,2,3)))</f>
        <v/>
      </c>
    </row>
    <row r="78">
      <c r="K78" s="51">
        <f>IF(COUNT(I78:J78)=2,I78+J78,"")</f>
        <v/>
      </c>
      <c r="L78" s="52">
        <f>IF(K78="","",IF(K78&gt;=18,1,IF(K78&gt;=10,2,3)))</f>
        <v/>
      </c>
    </row>
    <row r="79">
      <c r="K79" s="51">
        <f>IF(COUNT(I79:J79)=2,I79+J79,"")</f>
        <v/>
      </c>
      <c r="L79" s="52">
        <f>IF(K79="","",IF(K79&gt;=18,1,IF(K79&gt;=10,2,3)))</f>
        <v/>
      </c>
    </row>
    <row r="80">
      <c r="K80" s="51">
        <f>IF(COUNT(I80:J80)=2,I80+J80,"")</f>
        <v/>
      </c>
      <c r="L80" s="52">
        <f>IF(K80="","",IF(K80&gt;=18,1,IF(K80&gt;=10,2,3)))</f>
        <v/>
      </c>
    </row>
    <row r="81">
      <c r="K81" s="51">
        <f>IF(COUNT(I81:J81)=2,I81+J81,"")</f>
        <v/>
      </c>
      <c r="L81" s="52">
        <f>IF(K81="","",IF(K81&gt;=18,1,IF(K81&gt;=10,2,3)))</f>
        <v/>
      </c>
    </row>
    <row r="82">
      <c r="K82" s="51">
        <f>IF(COUNT(I82:J82)=2,I82+J82,"")</f>
        <v/>
      </c>
      <c r="L82" s="52">
        <f>IF(K82="","",IF(K82&gt;=18,1,IF(K82&gt;=10,2,3)))</f>
        <v/>
      </c>
    </row>
    <row r="83">
      <c r="K83" s="51">
        <f>IF(COUNT(I83:J83)=2,I83+J83,"")</f>
        <v/>
      </c>
      <c r="L83" s="52">
        <f>IF(K83="","",IF(K83&gt;=18,1,IF(K83&gt;=10,2,3)))</f>
        <v/>
      </c>
    </row>
    <row r="84">
      <c r="K84" s="51">
        <f>IF(COUNT(I84:J84)=2,I84+J84,"")</f>
        <v/>
      </c>
      <c r="L84" s="52">
        <f>IF(K84="","",IF(K84&gt;=18,1,IF(K84&gt;=10,2,3)))</f>
        <v/>
      </c>
    </row>
    <row r="85">
      <c r="K85" s="51">
        <f>IF(COUNT(I85:J85)=2,I85+J85,"")</f>
        <v/>
      </c>
      <c r="L85" s="52">
        <f>IF(K85="","",IF(K85&gt;=18,1,IF(K85&gt;=10,2,3)))</f>
        <v/>
      </c>
    </row>
    <row r="86">
      <c r="K86" s="51">
        <f>IF(COUNT(I86:J86)=2,I86+J86,"")</f>
        <v/>
      </c>
      <c r="L86" s="52">
        <f>IF(K86="","",IF(K86&gt;=18,1,IF(K86&gt;=10,2,3)))</f>
        <v/>
      </c>
    </row>
    <row r="87">
      <c r="K87" s="51">
        <f>IF(COUNT(I87:J87)=2,I87+J87,"")</f>
        <v/>
      </c>
      <c r="L87" s="52">
        <f>IF(K87="","",IF(K87&gt;=18,1,IF(K87&gt;=10,2,3)))</f>
        <v/>
      </c>
    </row>
    <row r="88">
      <c r="K88" s="51">
        <f>IF(COUNT(I88:J88)=2,I88+J88,"")</f>
        <v/>
      </c>
      <c r="L88" s="52">
        <f>IF(K88="","",IF(K88&gt;=18,1,IF(K88&gt;=10,2,3)))</f>
        <v/>
      </c>
    </row>
    <row r="89">
      <c r="K89" s="51">
        <f>IF(COUNT(I89:J89)=2,I89+J89,"")</f>
        <v/>
      </c>
      <c r="L89" s="52">
        <f>IF(K89="","",IF(K89&gt;=18,1,IF(K89&gt;=10,2,3)))</f>
        <v/>
      </c>
    </row>
    <row r="90">
      <c r="K90" s="51">
        <f>IF(COUNT(I90:J90)=2,I90+J90,"")</f>
        <v/>
      </c>
      <c r="L90" s="52">
        <f>IF(K90="","",IF(K90&gt;=18,1,IF(K90&gt;=10,2,3)))</f>
        <v/>
      </c>
    </row>
    <row r="91">
      <c r="K91" s="51">
        <f>IF(COUNT(I91:J91)=2,I91+J91,"")</f>
        <v/>
      </c>
      <c r="L91" s="52">
        <f>IF(K91="","",IF(K91&gt;=18,1,IF(K91&gt;=10,2,3)))</f>
        <v/>
      </c>
    </row>
    <row r="92">
      <c r="K92" s="51">
        <f>IF(COUNT(I92:J92)=2,I92+J92,"")</f>
        <v/>
      </c>
      <c r="L92" s="52">
        <f>IF(K92="","",IF(K92&gt;=18,1,IF(K92&gt;=10,2,3)))</f>
        <v/>
      </c>
    </row>
    <row r="93">
      <c r="K93" s="51">
        <f>IF(COUNT(I93:J93)=2,I93+J93,"")</f>
        <v/>
      </c>
      <c r="L93" s="52">
        <f>IF(K93="","",IF(K93&gt;=18,1,IF(K93&gt;=10,2,3)))</f>
        <v/>
      </c>
    </row>
    <row r="94">
      <c r="K94" s="51">
        <f>IF(COUNT(I94:J94)=2,I94+J94,"")</f>
        <v/>
      </c>
      <c r="L94" s="52">
        <f>IF(K94="","",IF(K94&gt;=18,1,IF(K94&gt;=10,2,3)))</f>
        <v/>
      </c>
    </row>
    <row r="95">
      <c r="K95" s="51">
        <f>IF(COUNT(I95:J95)=2,I95+J95,"")</f>
        <v/>
      </c>
      <c r="L95" s="52">
        <f>IF(K95="","",IF(K95&gt;=18,1,IF(K95&gt;=10,2,3)))</f>
        <v/>
      </c>
    </row>
    <row r="96">
      <c r="K96" s="51">
        <f>IF(COUNT(I96:J96)=2,I96+J96,"")</f>
        <v/>
      </c>
      <c r="L96" s="52">
        <f>IF(K96="","",IF(K96&gt;=18,1,IF(K96&gt;=10,2,3)))</f>
        <v/>
      </c>
    </row>
    <row r="97">
      <c r="K97" s="51">
        <f>IF(COUNT(I97:J97)=2,I97+J97,"")</f>
        <v/>
      </c>
      <c r="L97" s="52">
        <f>IF(K97="","",IF(K97&gt;=18,1,IF(K97&gt;=10,2,3)))</f>
        <v/>
      </c>
    </row>
    <row r="98">
      <c r="K98" s="51">
        <f>IF(COUNT(I98:J98)=2,I98+J98,"")</f>
        <v/>
      </c>
      <c r="L98" s="52">
        <f>IF(K98="","",IF(K98&gt;=18,1,IF(K98&gt;=10,2,3)))</f>
        <v/>
      </c>
    </row>
    <row r="99">
      <c r="K99" s="51">
        <f>IF(COUNT(I99:J99)=2,I99+J99,"")</f>
        <v/>
      </c>
      <c r="L99" s="52">
        <f>IF(K99="","",IF(K99&gt;=18,1,IF(K99&gt;=10,2,3)))</f>
        <v/>
      </c>
    </row>
    <row r="100">
      <c r="K100" s="51">
        <f>IF(COUNT(I100:J100)=2,I100+J100,"")</f>
        <v/>
      </c>
      <c r="L100" s="52">
        <f>IF(K100="","",IF(K100&gt;=18,1,IF(K100&gt;=10,2,3)))</f>
        <v/>
      </c>
    </row>
    <row r="101">
      <c r="K101" s="51">
        <f>IF(COUNT(I101:J101)=2,I101+J101,"")</f>
        <v/>
      </c>
      <c r="L101" s="52">
        <f>IF(K101="","",IF(K101&gt;=18,1,IF(K101&gt;=10,2,3)))</f>
        <v/>
      </c>
    </row>
    <row r="102">
      <c r="K102" s="51">
        <f>IF(COUNT(I102:J102)=2,I102+J102,"")</f>
        <v/>
      </c>
      <c r="L102" s="52">
        <f>IF(K102="","",IF(K102&gt;=18,1,IF(K102&gt;=10,2,3)))</f>
        <v/>
      </c>
    </row>
    <row r="103">
      <c r="K103" s="51">
        <f>IF(COUNT(I103:J103)=2,I103+J103,"")</f>
        <v/>
      </c>
      <c r="L103" s="52">
        <f>IF(K103="","",IF(K103&gt;=18,1,IF(K103&gt;=10,2,3)))</f>
        <v/>
      </c>
    </row>
    <row r="104">
      <c r="K104" s="51">
        <f>IF(COUNT(I104:J104)=2,I104+J104,"")</f>
        <v/>
      </c>
      <c r="L104" s="52">
        <f>IF(K104="","",IF(K104&gt;=18,1,IF(K104&gt;=10,2,3)))</f>
        <v/>
      </c>
    </row>
    <row r="105">
      <c r="K105" s="51">
        <f>IF(COUNT(I105:J105)=2,I105+J105,"")</f>
        <v/>
      </c>
      <c r="L105" s="52">
        <f>IF(K105="","",IF(K105&gt;=18,1,IF(K105&gt;=10,2,3)))</f>
        <v/>
      </c>
    </row>
    <row r="106">
      <c r="K106" s="51">
        <f>IF(COUNT(I106:J106)=2,I106+J106,"")</f>
        <v/>
      </c>
      <c r="L106" s="52">
        <f>IF(K106="","",IF(K106&gt;=18,1,IF(K106&gt;=10,2,3)))</f>
        <v/>
      </c>
    </row>
    <row r="107">
      <c r="K107" s="51">
        <f>IF(COUNT(I107:J107)=2,I107+J107,"")</f>
        <v/>
      </c>
      <c r="L107" s="52">
        <f>IF(K107="","",IF(K107&gt;=18,1,IF(K107&gt;=10,2,3)))</f>
        <v/>
      </c>
    </row>
    <row r="108">
      <c r="K108" s="51">
        <f>IF(COUNT(I108:J108)=2,I108+J108,"")</f>
        <v/>
      </c>
      <c r="L108" s="52">
        <f>IF(K108="","",IF(K108&gt;=18,1,IF(K108&gt;=10,2,3)))</f>
        <v/>
      </c>
    </row>
    <row r="109">
      <c r="K109" s="51">
        <f>IF(COUNT(I109:J109)=2,I109+J109,"")</f>
        <v/>
      </c>
      <c r="L109" s="52">
        <f>IF(K109="","",IF(K109&gt;=18,1,IF(K109&gt;=10,2,3)))</f>
        <v/>
      </c>
    </row>
    <row r="110">
      <c r="K110" s="51">
        <f>IF(COUNT(I110:J110)=2,I110+J110,"")</f>
        <v/>
      </c>
      <c r="L110" s="52">
        <f>IF(K110="","",IF(K110&gt;=18,1,IF(K110&gt;=10,2,3)))</f>
        <v/>
      </c>
    </row>
    <row r="111">
      <c r="K111" s="51">
        <f>IF(COUNT(I111:J111)=2,I111+J111,"")</f>
        <v/>
      </c>
      <c r="L111" s="52">
        <f>IF(K111="","",IF(K111&gt;=18,1,IF(K111&gt;=10,2,3)))</f>
        <v/>
      </c>
    </row>
    <row r="112">
      <c r="K112" s="51">
        <f>IF(COUNT(I112:J112)=2,I112+J112,"")</f>
        <v/>
      </c>
      <c r="L112" s="52">
        <f>IF(K112="","",IF(K112&gt;=18,1,IF(K112&gt;=10,2,3)))</f>
        <v/>
      </c>
    </row>
    <row r="113">
      <c r="K113" s="51">
        <f>IF(COUNT(I113:J113)=2,I113+J113,"")</f>
        <v/>
      </c>
      <c r="L113" s="52">
        <f>IF(K113="","",IF(K113&gt;=18,1,IF(K113&gt;=10,2,3)))</f>
        <v/>
      </c>
    </row>
    <row r="114">
      <c r="K114" s="51">
        <f>IF(COUNT(I114:J114)=2,I114+J114,"")</f>
        <v/>
      </c>
      <c r="L114" s="52">
        <f>IF(K114="","",IF(K114&gt;=18,1,IF(K114&gt;=10,2,3)))</f>
        <v/>
      </c>
    </row>
    <row r="115">
      <c r="K115" s="51">
        <f>IF(COUNT(I115:J115)=2,I115+J115,"")</f>
        <v/>
      </c>
      <c r="L115" s="52">
        <f>IF(K115="","",IF(K115&gt;=18,1,IF(K115&gt;=10,2,3)))</f>
        <v/>
      </c>
    </row>
    <row r="116">
      <c r="K116" s="51">
        <f>IF(COUNT(I116:J116)=2,I116+J116,"")</f>
        <v/>
      </c>
      <c r="L116" s="52">
        <f>IF(K116="","",IF(K116&gt;=18,1,IF(K116&gt;=10,2,3)))</f>
        <v/>
      </c>
    </row>
    <row r="117">
      <c r="K117" s="51">
        <f>IF(COUNT(I117:J117)=2,I117+J117,"")</f>
        <v/>
      </c>
      <c r="L117" s="52">
        <f>IF(K117="","",IF(K117&gt;=18,1,IF(K117&gt;=10,2,3)))</f>
        <v/>
      </c>
    </row>
    <row r="118">
      <c r="K118" s="51">
        <f>IF(COUNT(I118:J118)=2,I118+J118,"")</f>
        <v/>
      </c>
      <c r="L118" s="52">
        <f>IF(K118="","",IF(K118&gt;=18,1,IF(K118&gt;=10,2,3)))</f>
        <v/>
      </c>
    </row>
    <row r="119">
      <c r="K119" s="51">
        <f>IF(COUNT(I119:J119)=2,I119+J119,"")</f>
        <v/>
      </c>
      <c r="L119" s="52">
        <f>IF(K119="","",IF(K119&gt;=18,1,IF(K119&gt;=10,2,3)))</f>
        <v/>
      </c>
    </row>
    <row r="120">
      <c r="K120" s="51">
        <f>IF(COUNT(I120:J120)=2,I120+J120,"")</f>
        <v/>
      </c>
      <c r="L120" s="52">
        <f>IF(K120="","",IF(K120&gt;=18,1,IF(K120&gt;=10,2,3)))</f>
        <v/>
      </c>
    </row>
    <row r="121">
      <c r="K121" s="51">
        <f>IF(COUNT(I121:J121)=2,I121+J121,"")</f>
        <v/>
      </c>
      <c r="L121" s="52">
        <f>IF(K121="","",IF(K121&gt;=18,1,IF(K121&gt;=10,2,3)))</f>
        <v/>
      </c>
    </row>
    <row r="122">
      <c r="K122" s="51">
        <f>IF(COUNT(I122:J122)=2,I122+J122,"")</f>
        <v/>
      </c>
      <c r="L122" s="52">
        <f>IF(K122="","",IF(K122&gt;=18,1,IF(K122&gt;=10,2,3)))</f>
        <v/>
      </c>
    </row>
    <row r="123">
      <c r="K123" s="51">
        <f>IF(COUNT(I123:J123)=2,I123+J123,"")</f>
        <v/>
      </c>
      <c r="L123" s="52">
        <f>IF(K123="","",IF(K123&gt;=18,1,IF(K123&gt;=10,2,3)))</f>
        <v/>
      </c>
    </row>
    <row r="124">
      <c r="K124" s="51">
        <f>IF(COUNT(I124:J124)=2,I124+J124,"")</f>
        <v/>
      </c>
      <c r="L124" s="52">
        <f>IF(K124="","",IF(K124&gt;=18,1,IF(K124&gt;=10,2,3)))</f>
        <v/>
      </c>
    </row>
    <row r="125">
      <c r="K125" s="51">
        <f>IF(COUNT(I125:J125)=2,I125+J125,"")</f>
        <v/>
      </c>
      <c r="L125" s="52">
        <f>IF(K125="","",IF(K125&gt;=18,1,IF(K125&gt;=10,2,3)))</f>
        <v/>
      </c>
    </row>
    <row r="126">
      <c r="K126" s="51">
        <f>IF(COUNT(I126:J126)=2,I126+J126,"")</f>
        <v/>
      </c>
      <c r="L126" s="52">
        <f>IF(K126="","",IF(K126&gt;=18,1,IF(K126&gt;=10,2,3)))</f>
        <v/>
      </c>
    </row>
    <row r="127">
      <c r="K127" s="51">
        <f>IF(COUNT(I127:J127)=2,I127+J127,"")</f>
        <v/>
      </c>
      <c r="L127" s="52">
        <f>IF(K127="","",IF(K127&gt;=18,1,IF(K127&gt;=10,2,3)))</f>
        <v/>
      </c>
    </row>
    <row r="128">
      <c r="K128" s="51">
        <f>IF(COUNT(I128:J128)=2,I128+J128,"")</f>
        <v/>
      </c>
      <c r="L128" s="52">
        <f>IF(K128="","",IF(K128&gt;=18,1,IF(K128&gt;=10,2,3)))</f>
        <v/>
      </c>
    </row>
    <row r="129">
      <c r="K129" s="51">
        <f>IF(COUNT(I129:J129)=2,I129+J129,"")</f>
        <v/>
      </c>
      <c r="L129" s="52">
        <f>IF(K129="","",IF(K129&gt;=18,1,IF(K129&gt;=10,2,3)))</f>
        <v/>
      </c>
    </row>
    <row r="130">
      <c r="K130" s="51">
        <f>IF(COUNT(I130:J130)=2,I130+J130,"")</f>
        <v/>
      </c>
      <c r="L130" s="52">
        <f>IF(K130="","",IF(K130&gt;=18,1,IF(K130&gt;=10,2,3)))</f>
        <v/>
      </c>
    </row>
    <row r="131">
      <c r="K131" s="51">
        <f>IF(COUNT(I131:J131)=2,I131+J131,"")</f>
        <v/>
      </c>
      <c r="L131" s="52">
        <f>IF(K131="","",IF(K131&gt;=18,1,IF(K131&gt;=10,2,3)))</f>
        <v/>
      </c>
    </row>
    <row r="132">
      <c r="K132" s="51">
        <f>IF(COUNT(I132:J132)=2,I132+J132,"")</f>
        <v/>
      </c>
      <c r="L132" s="52">
        <f>IF(K132="","",IF(K132&gt;=18,1,IF(K132&gt;=10,2,3)))</f>
        <v/>
      </c>
    </row>
    <row r="133">
      <c r="K133" s="51">
        <f>IF(COUNT(I133:J133)=2,I133+J133,"")</f>
        <v/>
      </c>
      <c r="L133" s="52">
        <f>IF(K133="","",IF(K133&gt;=18,1,IF(K133&gt;=10,2,3)))</f>
        <v/>
      </c>
    </row>
    <row r="134">
      <c r="K134" s="51">
        <f>IF(COUNT(I134:J134)=2,I134+J134,"")</f>
        <v/>
      </c>
      <c r="L134" s="52">
        <f>IF(K134="","",IF(K134&gt;=18,1,IF(K134&gt;=10,2,3)))</f>
        <v/>
      </c>
    </row>
    <row r="135">
      <c r="K135" s="51">
        <f>IF(COUNT(I135:J135)=2,I135+J135,"")</f>
        <v/>
      </c>
      <c r="L135" s="52">
        <f>IF(K135="","",IF(K135&gt;=18,1,IF(K135&gt;=10,2,3)))</f>
        <v/>
      </c>
    </row>
    <row r="136">
      <c r="K136" s="51">
        <f>IF(COUNT(I136:J136)=2,I136+J136,"")</f>
        <v/>
      </c>
      <c r="L136" s="52">
        <f>IF(K136="","",IF(K136&gt;=18,1,IF(K136&gt;=10,2,3)))</f>
        <v/>
      </c>
    </row>
    <row r="137">
      <c r="K137" s="51">
        <f>IF(COUNT(I137:J137)=2,I137+J137,"")</f>
        <v/>
      </c>
      <c r="L137" s="52">
        <f>IF(K137="","",IF(K137&gt;=18,1,IF(K137&gt;=10,2,3)))</f>
        <v/>
      </c>
    </row>
    <row r="138">
      <c r="K138" s="51">
        <f>IF(COUNT(I138:J138)=2,I138+J138,"")</f>
        <v/>
      </c>
      <c r="L138" s="52">
        <f>IF(K138="","",IF(K138&gt;=18,1,IF(K138&gt;=10,2,3)))</f>
        <v/>
      </c>
    </row>
    <row r="139">
      <c r="K139" s="51">
        <f>IF(COUNT(I139:J139)=2,I139+J139,"")</f>
        <v/>
      </c>
      <c r="L139" s="52">
        <f>IF(K139="","",IF(K139&gt;=18,1,IF(K139&gt;=10,2,3)))</f>
        <v/>
      </c>
    </row>
    <row r="140">
      <c r="K140" s="51">
        <f>IF(COUNT(I140:J140)=2,I140+J140,"")</f>
        <v/>
      </c>
      <c r="L140" s="52">
        <f>IF(K140="","",IF(K140&gt;=18,1,IF(K140&gt;=10,2,3)))</f>
        <v/>
      </c>
    </row>
    <row r="141">
      <c r="K141" s="51">
        <f>IF(COUNT(I141:J141)=2,I141+J141,"")</f>
        <v/>
      </c>
      <c r="L141" s="52">
        <f>IF(K141="","",IF(K141&gt;=18,1,IF(K141&gt;=10,2,3)))</f>
        <v/>
      </c>
    </row>
    <row r="142">
      <c r="K142" s="51">
        <f>IF(COUNT(I142:J142)=2,I142+J142,"")</f>
        <v/>
      </c>
      <c r="L142" s="52">
        <f>IF(K142="","",IF(K142&gt;=18,1,IF(K142&gt;=10,2,3)))</f>
        <v/>
      </c>
    </row>
    <row r="143">
      <c r="K143" s="51">
        <f>IF(COUNT(I143:J143)=2,I143+J143,"")</f>
        <v/>
      </c>
      <c r="L143" s="52">
        <f>IF(K143="","",IF(K143&gt;=18,1,IF(K143&gt;=10,2,3)))</f>
        <v/>
      </c>
    </row>
    <row r="144">
      <c r="K144" s="51">
        <f>IF(COUNT(I144:J144)=2,I144+J144,"")</f>
        <v/>
      </c>
      <c r="L144" s="52">
        <f>IF(K144="","",IF(K144&gt;=18,1,IF(K144&gt;=10,2,3)))</f>
        <v/>
      </c>
    </row>
    <row r="145">
      <c r="K145" s="51">
        <f>IF(COUNT(I145:J145)=2,I145+J145,"")</f>
        <v/>
      </c>
      <c r="L145" s="52">
        <f>IF(K145="","",IF(K145&gt;=18,1,IF(K145&gt;=10,2,3)))</f>
        <v/>
      </c>
    </row>
    <row r="146">
      <c r="K146" s="51">
        <f>IF(COUNT(I146:J146)=2,I146+J146,"")</f>
        <v/>
      </c>
      <c r="L146" s="52">
        <f>IF(K146="","",IF(K146&gt;=18,1,IF(K146&gt;=10,2,3)))</f>
        <v/>
      </c>
    </row>
    <row r="147">
      <c r="K147" s="51">
        <f>IF(COUNT(I147:J147)=2,I147+J147,"")</f>
        <v/>
      </c>
      <c r="L147" s="52">
        <f>IF(K147="","",IF(K147&gt;=18,1,IF(K147&gt;=10,2,3)))</f>
        <v/>
      </c>
    </row>
    <row r="148">
      <c r="K148" s="51">
        <f>IF(COUNT(I148:J148)=2,I148+J148,"")</f>
        <v/>
      </c>
      <c r="L148" s="52">
        <f>IF(K148="","",IF(K148&gt;=18,1,IF(K148&gt;=10,2,3)))</f>
        <v/>
      </c>
    </row>
    <row r="149">
      <c r="K149" s="51">
        <f>IF(COUNT(I149:J149)=2,I149+J149,"")</f>
        <v/>
      </c>
      <c r="L149" s="52">
        <f>IF(K149="","",IF(K149&gt;=18,1,IF(K149&gt;=10,2,3)))</f>
        <v/>
      </c>
    </row>
    <row r="150">
      <c r="K150" s="51">
        <f>IF(COUNT(I150:J150)=2,I150+J150,"")</f>
        <v/>
      </c>
      <c r="L150" s="52">
        <f>IF(K150="","",IF(K150&gt;=18,1,IF(K150&gt;=10,2,3)))</f>
        <v/>
      </c>
    </row>
    <row r="151">
      <c r="K151" s="51">
        <f>IF(COUNT(I151:J151)=2,I151+J151,"")</f>
        <v/>
      </c>
      <c r="L151" s="52">
        <f>IF(K151="","",IF(K151&gt;=18,1,IF(K151&gt;=10,2,3)))</f>
        <v/>
      </c>
    </row>
    <row r="152">
      <c r="K152" s="51">
        <f>IF(COUNT(I152:J152)=2,I152+J152,"")</f>
        <v/>
      </c>
      <c r="L152" s="52">
        <f>IF(K152="","",IF(K152&gt;=18,1,IF(K152&gt;=10,2,3)))</f>
        <v/>
      </c>
    </row>
    <row r="153">
      <c r="K153" s="51">
        <f>IF(COUNT(I153:J153)=2,I153+J153,"")</f>
        <v/>
      </c>
      <c r="L153" s="52">
        <f>IF(K153="","",IF(K153&gt;=18,1,IF(K153&gt;=10,2,3)))</f>
        <v/>
      </c>
    </row>
    <row r="154">
      <c r="K154" s="51">
        <f>IF(COUNT(I154:J154)=2,I154+J154,"")</f>
        <v/>
      </c>
      <c r="L154" s="52">
        <f>IF(K154="","",IF(K154&gt;=18,1,IF(K154&gt;=10,2,3)))</f>
        <v/>
      </c>
    </row>
    <row r="155">
      <c r="K155" s="51">
        <f>IF(COUNT(I155:J155)=2,I155+J155,"")</f>
        <v/>
      </c>
      <c r="L155" s="52">
        <f>IF(K155="","",IF(K155&gt;=18,1,IF(K155&gt;=10,2,3)))</f>
        <v/>
      </c>
    </row>
    <row r="156">
      <c r="K156" s="51">
        <f>IF(COUNT(I156:J156)=2,I156+J156,"")</f>
        <v/>
      </c>
      <c r="L156" s="52">
        <f>IF(K156="","",IF(K156&gt;=18,1,IF(K156&gt;=10,2,3)))</f>
        <v/>
      </c>
    </row>
    <row r="157">
      <c r="K157" s="51">
        <f>IF(COUNT(I157:J157)=2,I157+J157,"")</f>
        <v/>
      </c>
      <c r="L157" s="52">
        <f>IF(K157="","",IF(K157&gt;=18,1,IF(K157&gt;=10,2,3)))</f>
        <v/>
      </c>
    </row>
    <row r="158">
      <c r="K158" s="51">
        <f>IF(COUNT(I158:J158)=2,I158+J158,"")</f>
        <v/>
      </c>
      <c r="L158" s="52">
        <f>IF(K158="","",IF(K158&gt;=18,1,IF(K158&gt;=10,2,3)))</f>
        <v/>
      </c>
    </row>
    <row r="159">
      <c r="K159" s="51">
        <f>IF(COUNT(I159:J159)=2,I159+J159,"")</f>
        <v/>
      </c>
      <c r="L159" s="52">
        <f>IF(K159="","",IF(K159&gt;=18,1,IF(K159&gt;=10,2,3)))</f>
        <v/>
      </c>
    </row>
    <row r="160">
      <c r="K160" s="51">
        <f>IF(COUNT(I160:J160)=2,I160+J160,"")</f>
        <v/>
      </c>
      <c r="L160" s="52">
        <f>IF(K160="","",IF(K160&gt;=18,1,IF(K160&gt;=10,2,3)))</f>
        <v/>
      </c>
    </row>
    <row r="161">
      <c r="K161" s="51">
        <f>IF(COUNT(I161:J161)=2,I161+J161,"")</f>
        <v/>
      </c>
      <c r="L161" s="52">
        <f>IF(K161="","",IF(K161&gt;=18,1,IF(K161&gt;=10,2,3)))</f>
        <v/>
      </c>
    </row>
    <row r="162">
      <c r="K162" s="51">
        <f>IF(COUNT(I162:J162)=2,I162+J162,"")</f>
        <v/>
      </c>
      <c r="L162" s="52">
        <f>IF(K162="","",IF(K162&gt;=18,1,IF(K162&gt;=10,2,3)))</f>
        <v/>
      </c>
    </row>
    <row r="163">
      <c r="K163" s="51">
        <f>IF(COUNT(I163:J163)=2,I163+J163,"")</f>
        <v/>
      </c>
      <c r="L163" s="52">
        <f>IF(K163="","",IF(K163&gt;=18,1,IF(K163&gt;=10,2,3)))</f>
        <v/>
      </c>
    </row>
    <row r="164">
      <c r="K164" s="51">
        <f>IF(COUNT(I164:J164)=2,I164+J164,"")</f>
        <v/>
      </c>
      <c r="L164" s="52">
        <f>IF(K164="","",IF(K164&gt;=18,1,IF(K164&gt;=10,2,3)))</f>
        <v/>
      </c>
    </row>
    <row r="165">
      <c r="K165" s="51">
        <f>IF(COUNT(I165:J165)=2,I165+J165,"")</f>
        <v/>
      </c>
      <c r="L165" s="52">
        <f>IF(K165="","",IF(K165&gt;=18,1,IF(K165&gt;=10,2,3)))</f>
        <v/>
      </c>
    </row>
    <row r="166">
      <c r="K166" s="51">
        <f>IF(COUNT(I166:J166)=2,I166+J166,"")</f>
        <v/>
      </c>
      <c r="L166" s="52">
        <f>IF(K166="","",IF(K166&gt;=18,1,IF(K166&gt;=10,2,3)))</f>
        <v/>
      </c>
    </row>
    <row r="167">
      <c r="K167" s="51">
        <f>IF(COUNT(I167:J167)=2,I167+J167,"")</f>
        <v/>
      </c>
      <c r="L167" s="52">
        <f>IF(K167="","",IF(K167&gt;=18,1,IF(K167&gt;=10,2,3)))</f>
        <v/>
      </c>
    </row>
    <row r="168">
      <c r="K168" s="51">
        <f>IF(COUNT(I168:J168)=2,I168+J168,"")</f>
        <v/>
      </c>
      <c r="L168" s="52">
        <f>IF(K168="","",IF(K168&gt;=18,1,IF(K168&gt;=10,2,3)))</f>
        <v/>
      </c>
    </row>
    <row r="169">
      <c r="K169" s="51">
        <f>IF(COUNT(I169:J169)=2,I169+J169,"")</f>
        <v/>
      </c>
      <c r="L169" s="52">
        <f>IF(K169="","",IF(K169&gt;=18,1,IF(K169&gt;=10,2,3)))</f>
        <v/>
      </c>
    </row>
    <row r="170">
      <c r="K170" s="51">
        <f>IF(COUNT(I170:J170)=2,I170+J170,"")</f>
        <v/>
      </c>
      <c r="L170" s="52">
        <f>IF(K170="","",IF(K170&gt;=18,1,IF(K170&gt;=10,2,3)))</f>
        <v/>
      </c>
    </row>
    <row r="171">
      <c r="K171" s="51">
        <f>IF(COUNT(I171:J171)=2,I171+J171,"")</f>
        <v/>
      </c>
      <c r="L171" s="52">
        <f>IF(K171="","",IF(K171&gt;=18,1,IF(K171&gt;=10,2,3)))</f>
        <v/>
      </c>
    </row>
    <row r="172">
      <c r="K172" s="51">
        <f>IF(COUNT(I172:J172)=2,I172+J172,"")</f>
        <v/>
      </c>
      <c r="L172" s="52">
        <f>IF(K172="","",IF(K172&gt;=18,1,IF(K172&gt;=10,2,3)))</f>
        <v/>
      </c>
    </row>
    <row r="173">
      <c r="K173" s="51">
        <f>IF(COUNT(I173:J173)=2,I173+J173,"")</f>
        <v/>
      </c>
      <c r="L173" s="52">
        <f>IF(K173="","",IF(K173&gt;=18,1,IF(K173&gt;=10,2,3)))</f>
        <v/>
      </c>
    </row>
    <row r="174">
      <c r="K174" s="51">
        <f>IF(COUNT(I174:J174)=2,I174+J174,"")</f>
        <v/>
      </c>
      <c r="L174" s="52">
        <f>IF(K174="","",IF(K174&gt;=18,1,IF(K174&gt;=10,2,3)))</f>
        <v/>
      </c>
    </row>
    <row r="175">
      <c r="K175" s="51">
        <f>IF(COUNT(I175:J175)=2,I175+J175,"")</f>
        <v/>
      </c>
      <c r="L175" s="52">
        <f>IF(K175="","",IF(K175&gt;=18,1,IF(K175&gt;=10,2,3)))</f>
        <v/>
      </c>
    </row>
    <row r="176">
      <c r="K176" s="51">
        <f>IF(COUNT(I176:J176)=2,I176+J176,"")</f>
        <v/>
      </c>
      <c r="L176" s="52">
        <f>IF(K176="","",IF(K176&gt;=18,1,IF(K176&gt;=10,2,3)))</f>
        <v/>
      </c>
    </row>
    <row r="177">
      <c r="K177" s="51">
        <f>IF(COUNT(I177:J177)=2,I177+J177,"")</f>
        <v/>
      </c>
      <c r="L177" s="52">
        <f>IF(K177="","",IF(K177&gt;=18,1,IF(K177&gt;=10,2,3)))</f>
        <v/>
      </c>
    </row>
    <row r="178">
      <c r="K178" s="51">
        <f>IF(COUNT(I178:J178)=2,I178+J178,"")</f>
        <v/>
      </c>
      <c r="L178" s="52">
        <f>IF(K178="","",IF(K178&gt;=18,1,IF(K178&gt;=10,2,3)))</f>
        <v/>
      </c>
    </row>
    <row r="179">
      <c r="K179" s="51">
        <f>IF(COUNT(I179:J179)=2,I179+J179,"")</f>
        <v/>
      </c>
      <c r="L179" s="52">
        <f>IF(K179="","",IF(K179&gt;=18,1,IF(K179&gt;=10,2,3)))</f>
        <v/>
      </c>
    </row>
    <row r="180">
      <c r="K180" s="51">
        <f>IF(COUNT(I180:J180)=2,I180+J180,"")</f>
        <v/>
      </c>
      <c r="L180" s="52">
        <f>IF(K180="","",IF(K180&gt;=18,1,IF(K180&gt;=10,2,3)))</f>
        <v/>
      </c>
    </row>
    <row r="181">
      <c r="K181" s="51">
        <f>IF(COUNT(I181:J181)=2,I181+J181,"")</f>
        <v/>
      </c>
      <c r="L181" s="52">
        <f>IF(K181="","",IF(K181&gt;=18,1,IF(K181&gt;=10,2,3)))</f>
        <v/>
      </c>
    </row>
    <row r="182">
      <c r="K182" s="51">
        <f>IF(COUNT(I182:J182)=2,I182+J182,"")</f>
        <v/>
      </c>
      <c r="L182" s="52">
        <f>IF(K182="","",IF(K182&gt;=18,1,IF(K182&gt;=10,2,3)))</f>
        <v/>
      </c>
    </row>
    <row r="183">
      <c r="K183" s="51">
        <f>IF(COUNT(I183:J183)=2,I183+J183,"")</f>
        <v/>
      </c>
      <c r="L183" s="52">
        <f>IF(K183="","",IF(K183&gt;=18,1,IF(K183&gt;=10,2,3)))</f>
        <v/>
      </c>
    </row>
    <row r="184">
      <c r="K184" s="51">
        <f>IF(COUNT(I184:J184)=2,I184+J184,"")</f>
        <v/>
      </c>
      <c r="L184" s="52">
        <f>IF(K184="","",IF(K184&gt;=18,1,IF(K184&gt;=10,2,3)))</f>
        <v/>
      </c>
    </row>
    <row r="185">
      <c r="K185" s="51">
        <f>IF(COUNT(I185:J185)=2,I185+J185,"")</f>
        <v/>
      </c>
      <c r="L185" s="52">
        <f>IF(K185="","",IF(K185&gt;=18,1,IF(K185&gt;=10,2,3)))</f>
        <v/>
      </c>
    </row>
    <row r="186">
      <c r="K186" s="51">
        <f>IF(COUNT(I186:J186)=2,I186+J186,"")</f>
        <v/>
      </c>
      <c r="L186" s="52">
        <f>IF(K186="","",IF(K186&gt;=18,1,IF(K186&gt;=10,2,3)))</f>
        <v/>
      </c>
    </row>
    <row r="187">
      <c r="K187" s="51">
        <f>IF(COUNT(I187:J187)=2,I187+J187,"")</f>
        <v/>
      </c>
      <c r="L187" s="52">
        <f>IF(K187="","",IF(K187&gt;=18,1,IF(K187&gt;=10,2,3)))</f>
        <v/>
      </c>
    </row>
    <row r="188">
      <c r="K188" s="51">
        <f>IF(COUNT(I188:J188)=2,I188+J188,"")</f>
        <v/>
      </c>
      <c r="L188" s="52">
        <f>IF(K188="","",IF(K188&gt;=18,1,IF(K188&gt;=10,2,3)))</f>
        <v/>
      </c>
    </row>
    <row r="189">
      <c r="K189" s="51">
        <f>IF(COUNT(I189:J189)=2,I189+J189,"")</f>
        <v/>
      </c>
      <c r="L189" s="52">
        <f>IF(K189="","",IF(K189&gt;=18,1,IF(K189&gt;=10,2,3)))</f>
        <v/>
      </c>
    </row>
    <row r="190">
      <c r="K190" s="51">
        <f>IF(COUNT(I190:J190)=2,I190+J190,"")</f>
        <v/>
      </c>
      <c r="L190" s="52">
        <f>IF(K190="","",IF(K190&gt;=18,1,IF(K190&gt;=10,2,3)))</f>
        <v/>
      </c>
    </row>
    <row r="191">
      <c r="K191" s="51">
        <f>IF(COUNT(I191:J191)=2,I191+J191,"")</f>
        <v/>
      </c>
      <c r="L191" s="52">
        <f>IF(K191="","",IF(K191&gt;=18,1,IF(K191&gt;=10,2,3)))</f>
        <v/>
      </c>
    </row>
    <row r="192">
      <c r="K192" s="51">
        <f>IF(COUNT(I192:J192)=2,I192+J192,"")</f>
        <v/>
      </c>
      <c r="L192" s="52">
        <f>IF(K192="","",IF(K192&gt;=18,1,IF(K192&gt;=10,2,3)))</f>
        <v/>
      </c>
    </row>
    <row r="193">
      <c r="K193" s="51">
        <f>IF(COUNT(I193:J193)=2,I193+J193,"")</f>
        <v/>
      </c>
      <c r="L193" s="52">
        <f>IF(K193="","",IF(K193&gt;=18,1,IF(K193&gt;=10,2,3)))</f>
        <v/>
      </c>
    </row>
    <row r="194">
      <c r="K194" s="51">
        <f>IF(COUNT(I194:J194)=2,I194+J194,"")</f>
        <v/>
      </c>
      <c r="L194" s="52">
        <f>IF(K194="","",IF(K194&gt;=18,1,IF(K194&gt;=10,2,3)))</f>
        <v/>
      </c>
    </row>
    <row r="195">
      <c r="K195" s="51">
        <f>IF(COUNT(I195:J195)=2,I195+J195,"")</f>
        <v/>
      </c>
      <c r="L195" s="52">
        <f>IF(K195="","",IF(K195&gt;=18,1,IF(K195&gt;=10,2,3)))</f>
        <v/>
      </c>
    </row>
    <row r="196">
      <c r="K196" s="51">
        <f>IF(COUNT(I196:J196)=2,I196+J196,"")</f>
        <v/>
      </c>
      <c r="L196" s="52">
        <f>IF(K196="","",IF(K196&gt;=18,1,IF(K196&gt;=10,2,3)))</f>
        <v/>
      </c>
    </row>
    <row r="197">
      <c r="K197" s="51">
        <f>IF(COUNT(I197:J197)=2,I197+J197,"")</f>
        <v/>
      </c>
      <c r="L197" s="52">
        <f>IF(K197="","",IF(K197&gt;=18,1,IF(K197&gt;=10,2,3)))</f>
        <v/>
      </c>
    </row>
    <row r="198">
      <c r="K198" s="51">
        <f>IF(COUNT(I198:J198)=2,I198+J198,"")</f>
        <v/>
      </c>
      <c r="L198" s="52">
        <f>IF(K198="","",IF(K198&gt;=18,1,IF(K198&gt;=10,2,3)))</f>
        <v/>
      </c>
    </row>
    <row r="199">
      <c r="K199" s="51">
        <f>IF(COUNT(I199:J199)=2,I199+J199,"")</f>
        <v/>
      </c>
      <c r="L199" s="52">
        <f>IF(K199="","",IF(K199&gt;=18,1,IF(K199&gt;=10,2,3)))</f>
        <v/>
      </c>
    </row>
    <row r="200">
      <c r="K200" s="51">
        <f>IF(COUNT(I200:J200)=2,I200+J200,"")</f>
        <v/>
      </c>
      <c r="L200" s="52">
        <f>IF(K200="","",IF(K200&gt;=18,1,IF(K200&gt;=10,2,3)))</f>
        <v/>
      </c>
    </row>
    <row r="201">
      <c r="K201" s="51">
        <f>IF(COUNT(I201:J201)=2,I201+J201,"")</f>
        <v/>
      </c>
      <c r="L201" s="52">
        <f>IF(K201="","",IF(K201&gt;=18,1,IF(K201&gt;=10,2,3)))</f>
        <v/>
      </c>
    </row>
    <row r="202">
      <c r="K202" s="51">
        <f>IF(COUNT(I202:J202)=2,I202+J202,"")</f>
        <v/>
      </c>
      <c r="L202" s="52">
        <f>IF(K202="","",IF(K202&gt;=18,1,IF(K202&gt;=10,2,3)))</f>
        <v/>
      </c>
    </row>
    <row r="203">
      <c r="K203" s="51">
        <f>IF(COUNT(I203:J203)=2,I203+J203,"")</f>
        <v/>
      </c>
      <c r="L203" s="52">
        <f>IF(K203="","",IF(K203&gt;=18,1,IF(K203&gt;=10,2,3)))</f>
        <v/>
      </c>
    </row>
    <row r="204">
      <c r="K204" s="51">
        <f>IF(COUNT(I204:J204)=2,I204+J204,"")</f>
        <v/>
      </c>
      <c r="L204" s="52">
        <f>IF(K204="","",IF(K204&gt;=18,1,IF(K204&gt;=10,2,3)))</f>
        <v/>
      </c>
    </row>
    <row r="210">
      <c r="A210" s="53" t="inlineStr">
        <is>
          <t>Audit summary</t>
        </is>
      </c>
    </row>
    <row r="211">
      <c r="A211" s="6" t="inlineStr">
        <is>
          <t>Closed NCRs in the register</t>
        </is>
      </c>
      <c r="D211" s="54">
        <f>COUNTA(A5:A204)</f>
        <v/>
      </c>
    </row>
    <row r="212">
      <c r="A212" s="6" t="inlineStr">
        <is>
          <t>Tier 1 items (mandatory 100 per cent)</t>
        </is>
      </c>
      <c r="D212" s="54">
        <f>COUNTIF(L5:L204,1)</f>
        <v/>
      </c>
    </row>
    <row r="213">
      <c r="A213" s="6" t="inlineStr">
        <is>
          <t>Tier 2 items</t>
        </is>
      </c>
      <c r="D213" s="54">
        <f>COUNTIF(L5:L204,2)</f>
        <v/>
      </c>
    </row>
    <row r="214">
      <c r="A214" s="6" t="inlineStr">
        <is>
          <t>Tier 3 items</t>
        </is>
      </c>
      <c r="D214" s="54">
        <f>COUNTIF(L5:L204,3)</f>
        <v/>
      </c>
    </row>
    <row r="215">
      <c r="A215" s="6" t="inlineStr">
        <is>
          <t>Items with absent evidence</t>
        </is>
      </c>
      <c r="D215" s="54">
        <f>COUNTIF(M5:M204,"Absent")</f>
        <v/>
      </c>
    </row>
    <row r="216">
      <c r="A216" s="6" t="inlineStr">
        <is>
          <t>Items with partial evidence</t>
        </is>
      </c>
      <c r="D216" s="54">
        <f>COUNTIF(M5:M204,"Partial")</f>
        <v/>
      </c>
    </row>
    <row r="217">
      <c r="A217" s="6" t="inlineStr">
        <is>
          <t>Items carrying a red flag</t>
        </is>
      </c>
      <c r="D217" s="54">
        <f>COUNTIF(O5:O204,"Y")</f>
        <v/>
      </c>
    </row>
    <row r="218">
      <c r="A218" s="6" t="inlineStr">
        <is>
          <t>Disposition A - verified closed</t>
        </is>
      </c>
      <c r="D218" s="54">
        <f>COUNTIF(U5:U204,"A")</f>
        <v/>
      </c>
    </row>
    <row r="219">
      <c r="A219" s="6" t="inlineStr">
        <is>
          <t>Disposition B - compliant, evidence deficient</t>
        </is>
      </c>
      <c r="D219" s="54">
        <f>COUNTIF(U5:U204,"B")</f>
        <v/>
      </c>
    </row>
    <row r="220">
      <c r="A220" s="6" t="inlineStr">
        <is>
          <t>Disposition C - unverified and non-compliant</t>
        </is>
      </c>
      <c r="D220" s="54">
        <f>COUNTIF(U5:U204,"C")</f>
        <v/>
      </c>
    </row>
    <row r="221">
      <c r="A221" s="6" t="inlineStr">
        <is>
          <t>Disposition D - stability or safety implication</t>
        </is>
      </c>
      <c r="D221" s="54">
        <f>COUNTIF(U5:U204,"D")</f>
        <v/>
      </c>
    </row>
    <row r="222">
      <c r="A222" s="6" t="inlineStr">
        <is>
          <t>Disposition E - falsification indicators</t>
        </is>
      </c>
      <c r="D222" s="54">
        <f>COUNTIF(U5:U204,"E")</f>
        <v/>
      </c>
    </row>
    <row r="223">
      <c r="A223" s="6" t="inlineStr">
        <is>
          <t>Disposition F - record missing</t>
        </is>
      </c>
      <c r="D223" s="54">
        <f>COUNTIF(U5:U204,"F")</f>
        <v/>
      </c>
    </row>
    <row r="224">
      <c r="A224" s="6" t="inlineStr">
        <is>
          <t>Verified closed</t>
        </is>
      </c>
      <c r="D224" s="54">
        <f>COUNTIF(Y5:Y204,"Verified closed")</f>
        <v/>
      </c>
    </row>
    <row r="225">
      <c r="A225" s="6" t="inlineStr">
        <is>
          <t>Closed with evidence complete (per cent)</t>
        </is>
      </c>
      <c r="D225" s="55">
        <f>IFERROR(COUNTIFS(M5:M204,"Complete")/COUNTA(A5:A204),0)</f>
        <v/>
      </c>
    </row>
  </sheetData>
  <mergeCells count="2">
    <mergeCell ref="A2:AD2"/>
    <mergeCell ref="A1:AD1"/>
  </mergeCells>
  <dataValidations count="8">
    <dataValidation sqref="F5:F204 G5:G204 H5:H204 O5:O204" showDropDown="0" showInputMessage="0" showErrorMessage="0" allowBlank="1" type="list">
      <formula1>"Y,N"</formula1>
    </dataValidation>
    <dataValidation sqref="F5:F204 G5:G204 H5:H204 O5:O204" showDropDown="0" showInputMessage="0" showErrorMessage="0" allowBlank="1" type="list">
      <formula1>"Y,N"</formula1>
    </dataValidation>
    <dataValidation sqref="F5:F204 G5:G204 H5:H204 O5:O204" showDropDown="0" showInputMessage="0" showErrorMessage="0" allowBlank="1" type="list">
      <formula1>"Y,N"</formula1>
    </dataValidation>
    <dataValidation sqref="F5:F204 G5:G204 H5:H204 O5:O204" showDropDown="0" showInputMessage="0" showErrorMessage="0" allowBlank="1" type="list">
      <formula1>"Y,N"</formula1>
    </dataValidation>
    <dataValidation sqref="L5:L204" showDropDown="0" showInputMessage="0" showErrorMessage="0" allowBlank="1" type="list">
      <formula1>"1,2,3"</formula1>
    </dataValidation>
    <dataValidation sqref="U5:U204" showDropDown="0" showInputMessage="0" showErrorMessage="0" allowBlank="1" type="list">
      <formula1>"A,B,C,D,E,F"</formula1>
    </dataValidation>
    <dataValidation sqref="Y5:Y204" showDropDown="0" showInputMessage="0" showErrorMessage="0" allowBlank="1" type="list">
      <formula1>"Not started,In verification,Rectification required,Rectified,Verified closed,Escalated"</formula1>
    </dataValidation>
    <dataValidation sqref="M5:M204" showDropDown="0" showInputMessage="0" showErrorMessage="0" allowBlank="1" type="list">
      <formula1>"Complete,Partial,Absent"</formula1>
    </dataValidation>
  </dataValidations>
  <pageMargins left="0.75" right="0.75" top="1" bottom="1" header="0.5" footer="0.5"/>
  <pageSetup orientation="landscape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R2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4" customWidth="1" min="4" max="4"/>
    <col width="12" customWidth="1" min="5" max="5"/>
    <col width="16" customWidth="1" min="6" max="6"/>
    <col width="10" customWidth="1" min="7" max="7"/>
    <col width="12" customWidth="1" min="8" max="8"/>
    <col width="9" customWidth="1" min="9" max="9"/>
    <col width="9" customWidth="1" min="10" max="10"/>
    <col width="9" customWidth="1" min="11" max="11"/>
    <col width="10" customWidth="1" min="12" max="12"/>
    <col width="34" customWidth="1" min="13" max="13"/>
    <col width="12" customWidth="1" min="14" max="14"/>
    <col width="12" customWidth="1" min="15" max="15"/>
    <col width="11" customWidth="1" min="16" max="16"/>
    <col width="11" customWidth="1" min="17" max="17"/>
    <col width="24" customWidth="1" min="18" max="18"/>
  </cols>
  <sheetData>
    <row r="1" ht="22" customHeight="1">
      <c r="A1" s="43" t="inlineStr">
        <is>
          <t>17. Decennial risk register</t>
        </is>
      </c>
    </row>
    <row r="2" ht="28" customHeight="1">
      <c r="A2" s="44" t="inlineStr">
        <is>
          <t>Items that remain open, unverified or subject to a residual risk after the retrospective audit. Risk score = likelihood x severity. Review at least annually and on every trigger event in Section 4 of the protocol. Years remaining is calculated from the delivery date entered in cell D212.</t>
        </is>
      </c>
    </row>
    <row r="4" ht="34" customHeight="1">
      <c r="A4" s="45" t="inlineStr">
        <is>
          <t>Ref</t>
        </is>
      </c>
      <c r="B4" s="45" t="inlineStr">
        <is>
          <t>Item / defect</t>
        </is>
      </c>
      <c r="C4" s="45" t="inlineStr">
        <is>
          <t>Element</t>
        </is>
      </c>
      <c r="D4" s="45" t="inlineStr">
        <is>
          <t>Location</t>
        </is>
      </c>
      <c r="E4" s="45" t="inlineStr">
        <is>
          <t>Stability or safety impact (Y/N)</t>
        </is>
      </c>
      <c r="F4" s="45" t="inlineStr">
        <is>
          <t>Statutory instrument affected</t>
        </is>
      </c>
      <c r="G4" s="45" t="inlineStr">
        <is>
          <t>Age at review (years)</t>
        </is>
      </c>
      <c r="H4" s="45" t="inlineStr">
        <is>
          <t>Years remaining in the ten-year period</t>
        </is>
      </c>
      <c r="I4" s="45" t="inlineStr">
        <is>
          <t>Likelihood (1-5)</t>
        </is>
      </c>
      <c r="J4" s="45" t="inlineStr">
        <is>
          <t>Severity (1-5)</t>
        </is>
      </c>
      <c r="K4" s="45" t="inlineStr">
        <is>
          <t>Risk score</t>
        </is>
      </c>
      <c r="L4" s="45" t="inlineStr">
        <is>
          <t>Band</t>
        </is>
      </c>
      <c r="M4" s="45" t="inlineStr">
        <is>
          <t>Mitigation and monitoring</t>
        </is>
      </c>
      <c r="N4" s="45" t="inlineStr">
        <is>
          <t>Owner</t>
        </is>
      </c>
      <c r="O4" s="45" t="inlineStr">
        <is>
          <t>Status</t>
        </is>
      </c>
      <c r="P4" s="45" t="inlineStr">
        <is>
          <t>Last review</t>
        </is>
      </c>
      <c r="Q4" s="45" t="inlineStr">
        <is>
          <t>Next review</t>
        </is>
      </c>
      <c r="R4" s="45" t="inlineStr">
        <is>
          <t>Residual risk</t>
        </is>
      </c>
    </row>
    <row r="5">
      <c r="A5" s="56" t="inlineStr">
        <is>
          <t>DR-001</t>
        </is>
      </c>
      <c r="B5" s="56" t="inlineStr">
        <is>
          <t>Podium slab waterproofing - no flood test record; membrane opened up and found intact</t>
        </is>
      </c>
      <c r="C5" s="56" t="inlineStr">
        <is>
          <t>Waterproofing</t>
        </is>
      </c>
      <c r="D5" s="56" t="inlineStr">
        <is>
          <t>Podium, level 2</t>
        </is>
      </c>
      <c r="E5" s="56" t="inlineStr">
        <is>
          <t>N</t>
        </is>
      </c>
      <c r="F5" s="56" t="inlineStr">
        <is>
          <t>None</t>
        </is>
      </c>
      <c r="G5" s="56" t="n">
        <v>2</v>
      </c>
      <c r="H5" s="57">
        <f>IF($D$212="","",MAX(0,10-(YEAR(TODAY())-YEAR($D$212))))</f>
        <v/>
      </c>
      <c r="I5" s="46" t="n">
        <v>2</v>
      </c>
      <c r="J5" s="46" t="n">
        <v>3</v>
      </c>
      <c r="K5" s="47">
        <f>IF(COUNT(I5:J5)=2,I5*J5,"")</f>
        <v/>
      </c>
      <c r="L5" s="48">
        <f>IF(K5="","",IF(K5&gt;=15,"High",IF(K5&gt;=8,"Medium","Low")))</f>
        <v/>
      </c>
      <c r="M5" s="46" t="inlineStr">
        <is>
          <t>Thermographic survey at 6-month intervals; moisture monitoring in the retail unit below</t>
        </is>
      </c>
      <c r="N5" s="46" t="inlineStr">
        <is>
          <t>PMC Quality</t>
        </is>
      </c>
      <c r="O5" s="46" t="inlineStr">
        <is>
          <t>Monitoring</t>
        </is>
      </c>
      <c r="P5" s="46" t="inlineStr"/>
      <c r="Q5" s="46" t="inlineStr"/>
      <c r="R5" s="46" t="inlineStr">
        <is>
          <t>Low - fabric intact, residual risk monitored</t>
        </is>
      </c>
    </row>
    <row r="6">
      <c r="A6" s="58" t="inlineStr">
        <is>
          <t>DR-002</t>
        </is>
      </c>
      <c r="B6" s="58" t="inlineStr">
        <is>
          <t>Raft raft-zone cube results not traceable; cores taken, strength within specification</t>
        </is>
      </c>
      <c r="C6" s="58" t="inlineStr">
        <is>
          <t>Structural - raft</t>
        </is>
      </c>
      <c r="D6" s="58" t="inlineStr">
        <is>
          <t>Zone 3, grid F7</t>
        </is>
      </c>
      <c r="E6" s="58" t="inlineStr">
        <is>
          <t>N</t>
        </is>
      </c>
      <c r="F6" s="58" t="inlineStr">
        <is>
          <t>None</t>
        </is>
      </c>
      <c r="G6" s="58" t="n">
        <v>2</v>
      </c>
      <c r="H6" s="59">
        <f>IF($D$212="","",MAX(0,10-(YEAR(TODAY())-YEAR($D$212))))</f>
        <v/>
      </c>
      <c r="I6" s="46" t="n">
        <v>1</v>
      </c>
      <c r="J6" s="46" t="n">
        <v>4</v>
      </c>
      <c r="K6" s="49">
        <f>IF(COUNT(I6:J6)=2,I6*J6,"")</f>
        <v/>
      </c>
      <c r="L6" s="50">
        <f>IF(K6="","",IF(K6&gt;=15,"High",IF(K6&gt;=8,"Medium","Low")))</f>
        <v/>
      </c>
      <c r="M6" s="46" t="inlineStr">
        <is>
          <t>Core results filed in the dossier; no further action, monitoring by review only</t>
        </is>
      </c>
      <c r="N6" s="46" t="inlineStr">
        <is>
          <t>PMC Quality</t>
        </is>
      </c>
      <c r="O6" s="46" t="inlineStr">
        <is>
          <t>Closed with record</t>
        </is>
      </c>
      <c r="P6" s="46" t="inlineStr"/>
      <c r="Q6" s="46" t="inlineStr"/>
      <c r="R6" s="46" t="inlineStr">
        <is>
          <t>Low - verified by core testing</t>
        </is>
      </c>
    </row>
    <row r="7">
      <c r="A7" s="56" t="inlineStr">
        <is>
          <t>DR-003</t>
        </is>
      </c>
      <c r="B7" s="56" t="inlineStr">
        <is>
          <t>Fire-stopping system reference missing at level 5 riser penetrations; seals verified and re-documented</t>
        </is>
      </c>
      <c r="C7" s="56" t="inlineStr">
        <is>
          <t>Fire and life safety</t>
        </is>
      </c>
      <c r="D7" s="56" t="inlineStr">
        <is>
          <t>Core, level 5</t>
        </is>
      </c>
      <c r="E7" s="56" t="inlineStr">
        <is>
          <t>Y</t>
        </is>
      </c>
      <c r="F7" s="56" t="inlineStr">
        <is>
          <t>Civil Defence certificate - verify scope</t>
        </is>
      </c>
      <c r="G7" s="56" t="n">
        <v>2</v>
      </c>
      <c r="H7" s="57">
        <f>IF($D$212="","",MAX(0,10-(YEAR(TODAY())-YEAR($D$212))))</f>
        <v/>
      </c>
      <c r="I7" s="46" t="n">
        <v>2</v>
      </c>
      <c r="J7" s="46" t="n">
        <v>5</v>
      </c>
      <c r="K7" s="47">
        <f>IF(COUNT(I7:J7)=2,I7*J7,"")</f>
        <v/>
      </c>
      <c r="L7" s="48">
        <f>IF(K7="","",IF(K7&gt;=15,"High",IF(K7&gt;=8,"Medium","Low")))</f>
        <v/>
      </c>
      <c r="M7" s="46" t="inlineStr">
        <is>
          <t>Physical re-inspection of 100 per cent of penetrations; certificate scope check with the applicant</t>
        </is>
      </c>
      <c r="N7" s="46" t="inlineStr">
        <is>
          <t>PMC Quality</t>
        </is>
      </c>
      <c r="O7" s="46" t="inlineStr">
        <is>
          <t>In progress</t>
        </is>
      </c>
      <c r="P7" s="46" t="inlineStr"/>
      <c r="Q7" s="46" t="inlineStr"/>
      <c r="R7" s="46" t="inlineStr">
        <is>
          <t>Medium - verified physically, instrument check pending</t>
        </is>
      </c>
    </row>
    <row r="8">
      <c r="H8" s="60">
        <f>IF($D$212="","",MAX(0,10-(YEAR(TODAY())-YEAR($D$212))))</f>
        <v/>
      </c>
      <c r="K8" s="51">
        <f>IF(COUNT(I8:J8)=2,I8*J8,"")</f>
        <v/>
      </c>
      <c r="L8" s="52">
        <f>IF(K8="","",IF(K8&gt;=15,"High",IF(K8&gt;=8,"Medium","Low")))</f>
        <v/>
      </c>
    </row>
    <row r="9">
      <c r="H9" s="60">
        <f>IF($D$212="","",MAX(0,10-(YEAR(TODAY())-YEAR($D$212))))</f>
        <v/>
      </c>
      <c r="K9" s="51">
        <f>IF(COUNT(I9:J9)=2,I9*J9,"")</f>
        <v/>
      </c>
      <c r="L9" s="52">
        <f>IF(K9="","",IF(K9&gt;=15,"High",IF(K9&gt;=8,"Medium","Low")))</f>
        <v/>
      </c>
    </row>
    <row r="10">
      <c r="H10" s="60">
        <f>IF($D$212="","",MAX(0,10-(YEAR(TODAY())-YEAR($D$212))))</f>
        <v/>
      </c>
      <c r="K10" s="51">
        <f>IF(COUNT(I10:J10)=2,I10*J10,"")</f>
        <v/>
      </c>
      <c r="L10" s="52">
        <f>IF(K10="","",IF(K10&gt;=15,"High",IF(K10&gt;=8,"Medium","Low")))</f>
        <v/>
      </c>
    </row>
    <row r="11">
      <c r="H11" s="60">
        <f>IF($D$212="","",MAX(0,10-(YEAR(TODAY())-YEAR($D$212))))</f>
        <v/>
      </c>
      <c r="K11" s="51">
        <f>IF(COUNT(I11:J11)=2,I11*J11,"")</f>
        <v/>
      </c>
      <c r="L11" s="52">
        <f>IF(K11="","",IF(K11&gt;=15,"High",IF(K11&gt;=8,"Medium","Low")))</f>
        <v/>
      </c>
    </row>
    <row r="12">
      <c r="H12" s="60">
        <f>IF($D$212="","",MAX(0,10-(YEAR(TODAY())-YEAR($D$212))))</f>
        <v/>
      </c>
      <c r="K12" s="51">
        <f>IF(COUNT(I12:J12)=2,I12*J12,"")</f>
        <v/>
      </c>
      <c r="L12" s="52">
        <f>IF(K12="","",IF(K12&gt;=15,"High",IF(K12&gt;=8,"Medium","Low")))</f>
        <v/>
      </c>
    </row>
    <row r="13">
      <c r="H13" s="60">
        <f>IF($D$212="","",MAX(0,10-(YEAR(TODAY())-YEAR($D$212))))</f>
        <v/>
      </c>
      <c r="K13" s="51">
        <f>IF(COUNT(I13:J13)=2,I13*J13,"")</f>
        <v/>
      </c>
      <c r="L13" s="52">
        <f>IF(K13="","",IF(K13&gt;=15,"High",IF(K13&gt;=8,"Medium","Low")))</f>
        <v/>
      </c>
    </row>
    <row r="14">
      <c r="H14" s="60">
        <f>IF($D$212="","",MAX(0,10-(YEAR(TODAY())-YEAR($D$212))))</f>
        <v/>
      </c>
      <c r="K14" s="51">
        <f>IF(COUNT(I14:J14)=2,I14*J14,"")</f>
        <v/>
      </c>
      <c r="L14" s="52">
        <f>IF(K14="","",IF(K14&gt;=15,"High",IF(K14&gt;=8,"Medium","Low")))</f>
        <v/>
      </c>
    </row>
    <row r="15">
      <c r="H15" s="60">
        <f>IF($D$212="","",MAX(0,10-(YEAR(TODAY())-YEAR($D$212))))</f>
        <v/>
      </c>
      <c r="K15" s="51">
        <f>IF(COUNT(I15:J15)=2,I15*J15,"")</f>
        <v/>
      </c>
      <c r="L15" s="52">
        <f>IF(K15="","",IF(K15&gt;=15,"High",IF(K15&gt;=8,"Medium","Low")))</f>
        <v/>
      </c>
    </row>
    <row r="16">
      <c r="H16" s="60">
        <f>IF($D$212="","",MAX(0,10-(YEAR(TODAY())-YEAR($D$212))))</f>
        <v/>
      </c>
      <c r="K16" s="51">
        <f>IF(COUNT(I16:J16)=2,I16*J16,"")</f>
        <v/>
      </c>
      <c r="L16" s="52">
        <f>IF(K16="","",IF(K16&gt;=15,"High",IF(K16&gt;=8,"Medium","Low")))</f>
        <v/>
      </c>
    </row>
    <row r="17">
      <c r="H17" s="60">
        <f>IF($D$212="","",MAX(0,10-(YEAR(TODAY())-YEAR($D$212))))</f>
        <v/>
      </c>
      <c r="K17" s="51">
        <f>IF(COUNT(I17:J17)=2,I17*J17,"")</f>
        <v/>
      </c>
      <c r="L17" s="52">
        <f>IF(K17="","",IF(K17&gt;=15,"High",IF(K17&gt;=8,"Medium","Low")))</f>
        <v/>
      </c>
    </row>
    <row r="18">
      <c r="H18" s="60">
        <f>IF($D$212="","",MAX(0,10-(YEAR(TODAY())-YEAR($D$212))))</f>
        <v/>
      </c>
      <c r="K18" s="51">
        <f>IF(COUNT(I18:J18)=2,I18*J18,"")</f>
        <v/>
      </c>
      <c r="L18" s="52">
        <f>IF(K18="","",IF(K18&gt;=15,"High",IF(K18&gt;=8,"Medium","Low")))</f>
        <v/>
      </c>
    </row>
    <row r="19">
      <c r="H19" s="60">
        <f>IF($D$212="","",MAX(0,10-(YEAR(TODAY())-YEAR($D$212))))</f>
        <v/>
      </c>
      <c r="K19" s="51">
        <f>IF(COUNT(I19:J19)=2,I19*J19,"")</f>
        <v/>
      </c>
      <c r="L19" s="52">
        <f>IF(K19="","",IF(K19&gt;=15,"High",IF(K19&gt;=8,"Medium","Low")))</f>
        <v/>
      </c>
    </row>
    <row r="20">
      <c r="H20" s="60">
        <f>IF($D$212="","",MAX(0,10-(YEAR(TODAY())-YEAR($D$212))))</f>
        <v/>
      </c>
      <c r="K20" s="51">
        <f>IF(COUNT(I20:J20)=2,I20*J20,"")</f>
        <v/>
      </c>
      <c r="L20" s="52">
        <f>IF(K20="","",IF(K20&gt;=15,"High",IF(K20&gt;=8,"Medium","Low")))</f>
        <v/>
      </c>
    </row>
    <row r="21">
      <c r="H21" s="60">
        <f>IF($D$212="","",MAX(0,10-(YEAR(TODAY())-YEAR($D$212))))</f>
        <v/>
      </c>
      <c r="K21" s="51">
        <f>IF(COUNT(I21:J21)=2,I21*J21,"")</f>
        <v/>
      </c>
      <c r="L21" s="52">
        <f>IF(K21="","",IF(K21&gt;=15,"High",IF(K21&gt;=8,"Medium","Low")))</f>
        <v/>
      </c>
    </row>
    <row r="22">
      <c r="H22" s="60">
        <f>IF($D$212="","",MAX(0,10-(YEAR(TODAY())-YEAR($D$212))))</f>
        <v/>
      </c>
      <c r="K22" s="51">
        <f>IF(COUNT(I22:J22)=2,I22*J22,"")</f>
        <v/>
      </c>
      <c r="L22" s="52">
        <f>IF(K22="","",IF(K22&gt;=15,"High",IF(K22&gt;=8,"Medium","Low")))</f>
        <v/>
      </c>
    </row>
    <row r="23">
      <c r="H23" s="60">
        <f>IF($D$212="","",MAX(0,10-(YEAR(TODAY())-YEAR($D$212))))</f>
        <v/>
      </c>
      <c r="K23" s="51">
        <f>IF(COUNT(I23:J23)=2,I23*J23,"")</f>
        <v/>
      </c>
      <c r="L23" s="52">
        <f>IF(K23="","",IF(K23&gt;=15,"High",IF(K23&gt;=8,"Medium","Low")))</f>
        <v/>
      </c>
    </row>
    <row r="24">
      <c r="H24" s="60">
        <f>IF($D$212="","",MAX(0,10-(YEAR(TODAY())-YEAR($D$212))))</f>
        <v/>
      </c>
      <c r="K24" s="51">
        <f>IF(COUNT(I24:J24)=2,I24*J24,"")</f>
        <v/>
      </c>
      <c r="L24" s="52">
        <f>IF(K24="","",IF(K24&gt;=15,"High",IF(K24&gt;=8,"Medium","Low")))</f>
        <v/>
      </c>
    </row>
    <row r="25">
      <c r="H25" s="60">
        <f>IF($D$212="","",MAX(0,10-(YEAR(TODAY())-YEAR($D$212))))</f>
        <v/>
      </c>
      <c r="K25" s="51">
        <f>IF(COUNT(I25:J25)=2,I25*J25,"")</f>
        <v/>
      </c>
      <c r="L25" s="52">
        <f>IF(K25="","",IF(K25&gt;=15,"High",IF(K25&gt;=8,"Medium","Low")))</f>
        <v/>
      </c>
    </row>
    <row r="26">
      <c r="H26" s="60">
        <f>IF($D$212="","",MAX(0,10-(YEAR(TODAY())-YEAR($D$212))))</f>
        <v/>
      </c>
      <c r="K26" s="51">
        <f>IF(COUNT(I26:J26)=2,I26*J26,"")</f>
        <v/>
      </c>
      <c r="L26" s="52">
        <f>IF(K26="","",IF(K26&gt;=15,"High",IF(K26&gt;=8,"Medium","Low")))</f>
        <v/>
      </c>
    </row>
    <row r="27">
      <c r="H27" s="60">
        <f>IF($D$212="","",MAX(0,10-(YEAR(TODAY())-YEAR($D$212))))</f>
        <v/>
      </c>
      <c r="K27" s="51">
        <f>IF(COUNT(I27:J27)=2,I27*J27,"")</f>
        <v/>
      </c>
      <c r="L27" s="52">
        <f>IF(K27="","",IF(K27&gt;=15,"High",IF(K27&gt;=8,"Medium","Low")))</f>
        <v/>
      </c>
    </row>
    <row r="28">
      <c r="H28" s="60">
        <f>IF($D$212="","",MAX(0,10-(YEAR(TODAY())-YEAR($D$212))))</f>
        <v/>
      </c>
      <c r="K28" s="51">
        <f>IF(COUNT(I28:J28)=2,I28*J28,"")</f>
        <v/>
      </c>
      <c r="L28" s="52">
        <f>IF(K28="","",IF(K28&gt;=15,"High",IF(K28&gt;=8,"Medium","Low")))</f>
        <v/>
      </c>
    </row>
    <row r="29">
      <c r="H29" s="60">
        <f>IF($D$212="","",MAX(0,10-(YEAR(TODAY())-YEAR($D$212))))</f>
        <v/>
      </c>
      <c r="K29" s="51">
        <f>IF(COUNT(I29:J29)=2,I29*J29,"")</f>
        <v/>
      </c>
      <c r="L29" s="52">
        <f>IF(K29="","",IF(K29&gt;=15,"High",IF(K29&gt;=8,"Medium","Low")))</f>
        <v/>
      </c>
    </row>
    <row r="30">
      <c r="H30" s="60">
        <f>IF($D$212="","",MAX(0,10-(YEAR(TODAY())-YEAR($D$212))))</f>
        <v/>
      </c>
      <c r="K30" s="51">
        <f>IF(COUNT(I30:J30)=2,I30*J30,"")</f>
        <v/>
      </c>
      <c r="L30" s="52">
        <f>IF(K30="","",IF(K30&gt;=15,"High",IF(K30&gt;=8,"Medium","Low")))</f>
        <v/>
      </c>
    </row>
    <row r="31">
      <c r="H31" s="60">
        <f>IF($D$212="","",MAX(0,10-(YEAR(TODAY())-YEAR($D$212))))</f>
        <v/>
      </c>
      <c r="K31" s="51">
        <f>IF(COUNT(I31:J31)=2,I31*J31,"")</f>
        <v/>
      </c>
      <c r="L31" s="52">
        <f>IF(K31="","",IF(K31&gt;=15,"High",IF(K31&gt;=8,"Medium","Low")))</f>
        <v/>
      </c>
    </row>
    <row r="32">
      <c r="H32" s="60">
        <f>IF($D$212="","",MAX(0,10-(YEAR(TODAY())-YEAR($D$212))))</f>
        <v/>
      </c>
      <c r="K32" s="51">
        <f>IF(COUNT(I32:J32)=2,I32*J32,"")</f>
        <v/>
      </c>
      <c r="L32" s="52">
        <f>IF(K32="","",IF(K32&gt;=15,"High",IF(K32&gt;=8,"Medium","Low")))</f>
        <v/>
      </c>
    </row>
    <row r="33">
      <c r="H33" s="60">
        <f>IF($D$212="","",MAX(0,10-(YEAR(TODAY())-YEAR($D$212))))</f>
        <v/>
      </c>
      <c r="K33" s="51">
        <f>IF(COUNT(I33:J33)=2,I33*J33,"")</f>
        <v/>
      </c>
      <c r="L33" s="52">
        <f>IF(K33="","",IF(K33&gt;=15,"High",IF(K33&gt;=8,"Medium","Low")))</f>
        <v/>
      </c>
    </row>
    <row r="34">
      <c r="H34" s="60">
        <f>IF($D$212="","",MAX(0,10-(YEAR(TODAY())-YEAR($D$212))))</f>
        <v/>
      </c>
      <c r="K34" s="51">
        <f>IF(COUNT(I34:J34)=2,I34*J34,"")</f>
        <v/>
      </c>
      <c r="L34" s="52">
        <f>IF(K34="","",IF(K34&gt;=15,"High",IF(K34&gt;=8,"Medium","Low")))</f>
        <v/>
      </c>
    </row>
    <row r="35">
      <c r="H35" s="60">
        <f>IF($D$212="","",MAX(0,10-(YEAR(TODAY())-YEAR($D$212))))</f>
        <v/>
      </c>
      <c r="K35" s="51">
        <f>IF(COUNT(I35:J35)=2,I35*J35,"")</f>
        <v/>
      </c>
      <c r="L35" s="52">
        <f>IF(K35="","",IF(K35&gt;=15,"High",IF(K35&gt;=8,"Medium","Low")))</f>
        <v/>
      </c>
    </row>
    <row r="36">
      <c r="H36" s="60">
        <f>IF($D$212="","",MAX(0,10-(YEAR(TODAY())-YEAR($D$212))))</f>
        <v/>
      </c>
      <c r="K36" s="51">
        <f>IF(COUNT(I36:J36)=2,I36*J36,"")</f>
        <v/>
      </c>
      <c r="L36" s="52">
        <f>IF(K36="","",IF(K36&gt;=15,"High",IF(K36&gt;=8,"Medium","Low")))</f>
        <v/>
      </c>
    </row>
    <row r="37">
      <c r="H37" s="60">
        <f>IF($D$212="","",MAX(0,10-(YEAR(TODAY())-YEAR($D$212))))</f>
        <v/>
      </c>
      <c r="K37" s="51">
        <f>IF(COUNT(I37:J37)=2,I37*J37,"")</f>
        <v/>
      </c>
      <c r="L37" s="52">
        <f>IF(K37="","",IF(K37&gt;=15,"High",IF(K37&gt;=8,"Medium","Low")))</f>
        <v/>
      </c>
    </row>
    <row r="38">
      <c r="H38" s="60">
        <f>IF($D$212="","",MAX(0,10-(YEAR(TODAY())-YEAR($D$212))))</f>
        <v/>
      </c>
      <c r="K38" s="51">
        <f>IF(COUNT(I38:J38)=2,I38*J38,"")</f>
        <v/>
      </c>
      <c r="L38" s="52">
        <f>IF(K38="","",IF(K38&gt;=15,"High",IF(K38&gt;=8,"Medium","Low")))</f>
        <v/>
      </c>
    </row>
    <row r="39">
      <c r="H39" s="60">
        <f>IF($D$212="","",MAX(0,10-(YEAR(TODAY())-YEAR($D$212))))</f>
        <v/>
      </c>
      <c r="K39" s="51">
        <f>IF(COUNT(I39:J39)=2,I39*J39,"")</f>
        <v/>
      </c>
      <c r="L39" s="52">
        <f>IF(K39="","",IF(K39&gt;=15,"High",IF(K39&gt;=8,"Medium","Low")))</f>
        <v/>
      </c>
    </row>
    <row r="40">
      <c r="H40" s="60">
        <f>IF($D$212="","",MAX(0,10-(YEAR(TODAY())-YEAR($D$212))))</f>
        <v/>
      </c>
      <c r="K40" s="51">
        <f>IF(COUNT(I40:J40)=2,I40*J40,"")</f>
        <v/>
      </c>
      <c r="L40" s="52">
        <f>IF(K40="","",IF(K40&gt;=15,"High",IF(K40&gt;=8,"Medium","Low")))</f>
        <v/>
      </c>
    </row>
    <row r="41">
      <c r="H41" s="60">
        <f>IF($D$212="","",MAX(0,10-(YEAR(TODAY())-YEAR($D$212))))</f>
        <v/>
      </c>
      <c r="K41" s="51">
        <f>IF(COUNT(I41:J41)=2,I41*J41,"")</f>
        <v/>
      </c>
      <c r="L41" s="52">
        <f>IF(K41="","",IF(K41&gt;=15,"High",IF(K41&gt;=8,"Medium","Low")))</f>
        <v/>
      </c>
    </row>
    <row r="42">
      <c r="H42" s="60">
        <f>IF($D$212="","",MAX(0,10-(YEAR(TODAY())-YEAR($D$212))))</f>
        <v/>
      </c>
      <c r="K42" s="51">
        <f>IF(COUNT(I42:J42)=2,I42*J42,"")</f>
        <v/>
      </c>
      <c r="L42" s="52">
        <f>IF(K42="","",IF(K42&gt;=15,"High",IF(K42&gt;=8,"Medium","Low")))</f>
        <v/>
      </c>
    </row>
    <row r="43">
      <c r="H43" s="60">
        <f>IF($D$212="","",MAX(0,10-(YEAR(TODAY())-YEAR($D$212))))</f>
        <v/>
      </c>
      <c r="K43" s="51">
        <f>IF(COUNT(I43:J43)=2,I43*J43,"")</f>
        <v/>
      </c>
      <c r="L43" s="52">
        <f>IF(K43="","",IF(K43&gt;=15,"High",IF(K43&gt;=8,"Medium","Low")))</f>
        <v/>
      </c>
    </row>
    <row r="44">
      <c r="H44" s="60">
        <f>IF($D$212="","",MAX(0,10-(YEAR(TODAY())-YEAR($D$212))))</f>
        <v/>
      </c>
      <c r="K44" s="51">
        <f>IF(COUNT(I44:J44)=2,I44*J44,"")</f>
        <v/>
      </c>
      <c r="L44" s="52">
        <f>IF(K44="","",IF(K44&gt;=15,"High",IF(K44&gt;=8,"Medium","Low")))</f>
        <v/>
      </c>
    </row>
    <row r="45">
      <c r="H45" s="60">
        <f>IF($D$212="","",MAX(0,10-(YEAR(TODAY())-YEAR($D$212))))</f>
        <v/>
      </c>
      <c r="K45" s="51">
        <f>IF(COUNT(I45:J45)=2,I45*J45,"")</f>
        <v/>
      </c>
      <c r="L45" s="52">
        <f>IF(K45="","",IF(K45&gt;=15,"High",IF(K45&gt;=8,"Medium","Low")))</f>
        <v/>
      </c>
    </row>
    <row r="46">
      <c r="H46" s="60">
        <f>IF($D$212="","",MAX(0,10-(YEAR(TODAY())-YEAR($D$212))))</f>
        <v/>
      </c>
      <c r="K46" s="51">
        <f>IF(COUNT(I46:J46)=2,I46*J46,"")</f>
        <v/>
      </c>
      <c r="L46" s="52">
        <f>IF(K46="","",IF(K46&gt;=15,"High",IF(K46&gt;=8,"Medium","Low")))</f>
        <v/>
      </c>
    </row>
    <row r="47">
      <c r="H47" s="60">
        <f>IF($D$212="","",MAX(0,10-(YEAR(TODAY())-YEAR($D$212))))</f>
        <v/>
      </c>
      <c r="K47" s="51">
        <f>IF(COUNT(I47:J47)=2,I47*J47,"")</f>
        <v/>
      </c>
      <c r="L47" s="52">
        <f>IF(K47="","",IF(K47&gt;=15,"High",IF(K47&gt;=8,"Medium","Low")))</f>
        <v/>
      </c>
    </row>
    <row r="48">
      <c r="H48" s="60">
        <f>IF($D$212="","",MAX(0,10-(YEAR(TODAY())-YEAR($D$212))))</f>
        <v/>
      </c>
      <c r="K48" s="51">
        <f>IF(COUNT(I48:J48)=2,I48*J48,"")</f>
        <v/>
      </c>
      <c r="L48" s="52">
        <f>IF(K48="","",IF(K48&gt;=15,"High",IF(K48&gt;=8,"Medium","Low")))</f>
        <v/>
      </c>
    </row>
    <row r="49">
      <c r="H49" s="60">
        <f>IF($D$212="","",MAX(0,10-(YEAR(TODAY())-YEAR($D$212))))</f>
        <v/>
      </c>
      <c r="K49" s="51">
        <f>IF(COUNT(I49:J49)=2,I49*J49,"")</f>
        <v/>
      </c>
      <c r="L49" s="52">
        <f>IF(K49="","",IF(K49&gt;=15,"High",IF(K49&gt;=8,"Medium","Low")))</f>
        <v/>
      </c>
    </row>
    <row r="50">
      <c r="H50" s="60">
        <f>IF($D$212="","",MAX(0,10-(YEAR(TODAY())-YEAR($D$212))))</f>
        <v/>
      </c>
      <c r="K50" s="51">
        <f>IF(COUNT(I50:J50)=2,I50*J50,"")</f>
        <v/>
      </c>
      <c r="L50" s="52">
        <f>IF(K50="","",IF(K50&gt;=15,"High",IF(K50&gt;=8,"Medium","Low")))</f>
        <v/>
      </c>
    </row>
    <row r="51">
      <c r="H51" s="60">
        <f>IF($D$212="","",MAX(0,10-(YEAR(TODAY())-YEAR($D$212))))</f>
        <v/>
      </c>
      <c r="K51" s="51">
        <f>IF(COUNT(I51:J51)=2,I51*J51,"")</f>
        <v/>
      </c>
      <c r="L51" s="52">
        <f>IF(K51="","",IF(K51&gt;=15,"High",IF(K51&gt;=8,"Medium","Low")))</f>
        <v/>
      </c>
    </row>
    <row r="52">
      <c r="H52" s="60">
        <f>IF($D$212="","",MAX(0,10-(YEAR(TODAY())-YEAR($D$212))))</f>
        <v/>
      </c>
      <c r="K52" s="51">
        <f>IF(COUNT(I52:J52)=2,I52*J52,"")</f>
        <v/>
      </c>
      <c r="L52" s="52">
        <f>IF(K52="","",IF(K52&gt;=15,"High",IF(K52&gt;=8,"Medium","Low")))</f>
        <v/>
      </c>
    </row>
    <row r="53">
      <c r="H53" s="60">
        <f>IF($D$212="","",MAX(0,10-(YEAR(TODAY())-YEAR($D$212))))</f>
        <v/>
      </c>
      <c r="K53" s="51">
        <f>IF(COUNT(I53:J53)=2,I53*J53,"")</f>
        <v/>
      </c>
      <c r="L53" s="52">
        <f>IF(K53="","",IF(K53&gt;=15,"High",IF(K53&gt;=8,"Medium","Low")))</f>
        <v/>
      </c>
    </row>
    <row r="54">
      <c r="H54" s="60">
        <f>IF($D$212="","",MAX(0,10-(YEAR(TODAY())-YEAR($D$212))))</f>
        <v/>
      </c>
      <c r="K54" s="51">
        <f>IF(COUNT(I54:J54)=2,I54*J54,"")</f>
        <v/>
      </c>
      <c r="L54" s="52">
        <f>IF(K54="","",IF(K54&gt;=15,"High",IF(K54&gt;=8,"Medium","Low")))</f>
        <v/>
      </c>
    </row>
    <row r="55">
      <c r="H55" s="60">
        <f>IF($D$212="","",MAX(0,10-(YEAR(TODAY())-YEAR($D$212))))</f>
        <v/>
      </c>
      <c r="K55" s="51">
        <f>IF(COUNT(I55:J55)=2,I55*J55,"")</f>
        <v/>
      </c>
      <c r="L55" s="52">
        <f>IF(K55="","",IF(K55&gt;=15,"High",IF(K55&gt;=8,"Medium","Low")))</f>
        <v/>
      </c>
    </row>
    <row r="56">
      <c r="H56" s="60">
        <f>IF($D$212="","",MAX(0,10-(YEAR(TODAY())-YEAR($D$212))))</f>
        <v/>
      </c>
      <c r="K56" s="51">
        <f>IF(COUNT(I56:J56)=2,I56*J56,"")</f>
        <v/>
      </c>
      <c r="L56" s="52">
        <f>IF(K56="","",IF(K56&gt;=15,"High",IF(K56&gt;=8,"Medium","Low")))</f>
        <v/>
      </c>
    </row>
    <row r="57">
      <c r="H57" s="60">
        <f>IF($D$212="","",MAX(0,10-(YEAR(TODAY())-YEAR($D$212))))</f>
        <v/>
      </c>
      <c r="K57" s="51">
        <f>IF(COUNT(I57:J57)=2,I57*J57,"")</f>
        <v/>
      </c>
      <c r="L57" s="52">
        <f>IF(K57="","",IF(K57&gt;=15,"High",IF(K57&gt;=8,"Medium","Low")))</f>
        <v/>
      </c>
    </row>
    <row r="58">
      <c r="H58" s="60">
        <f>IF($D$212="","",MAX(0,10-(YEAR(TODAY())-YEAR($D$212))))</f>
        <v/>
      </c>
      <c r="K58" s="51">
        <f>IF(COUNT(I58:J58)=2,I58*J58,"")</f>
        <v/>
      </c>
      <c r="L58" s="52">
        <f>IF(K58="","",IF(K58&gt;=15,"High",IF(K58&gt;=8,"Medium","Low")))</f>
        <v/>
      </c>
    </row>
    <row r="59">
      <c r="H59" s="60">
        <f>IF($D$212="","",MAX(0,10-(YEAR(TODAY())-YEAR($D$212))))</f>
        <v/>
      </c>
      <c r="K59" s="51">
        <f>IF(COUNT(I59:J59)=2,I59*J59,"")</f>
        <v/>
      </c>
      <c r="L59" s="52">
        <f>IF(K59="","",IF(K59&gt;=15,"High",IF(K59&gt;=8,"Medium","Low")))</f>
        <v/>
      </c>
    </row>
    <row r="60">
      <c r="H60" s="60">
        <f>IF($D$212="","",MAX(0,10-(YEAR(TODAY())-YEAR($D$212))))</f>
        <v/>
      </c>
      <c r="K60" s="51">
        <f>IF(COUNT(I60:J60)=2,I60*J60,"")</f>
        <v/>
      </c>
      <c r="L60" s="52">
        <f>IF(K60="","",IF(K60&gt;=15,"High",IF(K60&gt;=8,"Medium","Low")))</f>
        <v/>
      </c>
    </row>
    <row r="61">
      <c r="H61" s="60">
        <f>IF($D$212="","",MAX(0,10-(YEAR(TODAY())-YEAR($D$212))))</f>
        <v/>
      </c>
      <c r="K61" s="51">
        <f>IF(COUNT(I61:J61)=2,I61*J61,"")</f>
        <v/>
      </c>
      <c r="L61" s="52">
        <f>IF(K61="","",IF(K61&gt;=15,"High",IF(K61&gt;=8,"Medium","Low")))</f>
        <v/>
      </c>
    </row>
    <row r="62">
      <c r="H62" s="60">
        <f>IF($D$212="","",MAX(0,10-(YEAR(TODAY())-YEAR($D$212))))</f>
        <v/>
      </c>
      <c r="K62" s="51">
        <f>IF(COUNT(I62:J62)=2,I62*J62,"")</f>
        <v/>
      </c>
      <c r="L62" s="52">
        <f>IF(K62="","",IF(K62&gt;=15,"High",IF(K62&gt;=8,"Medium","Low")))</f>
        <v/>
      </c>
    </row>
    <row r="63">
      <c r="H63" s="60">
        <f>IF($D$212="","",MAX(0,10-(YEAR(TODAY())-YEAR($D$212))))</f>
        <v/>
      </c>
      <c r="K63" s="51">
        <f>IF(COUNT(I63:J63)=2,I63*J63,"")</f>
        <v/>
      </c>
      <c r="L63" s="52">
        <f>IF(K63="","",IF(K63&gt;=15,"High",IF(K63&gt;=8,"Medium","Low")))</f>
        <v/>
      </c>
    </row>
    <row r="64">
      <c r="H64" s="60">
        <f>IF($D$212="","",MAX(0,10-(YEAR(TODAY())-YEAR($D$212))))</f>
        <v/>
      </c>
      <c r="K64" s="51">
        <f>IF(COUNT(I64:J64)=2,I64*J64,"")</f>
        <v/>
      </c>
      <c r="L64" s="52">
        <f>IF(K64="","",IF(K64&gt;=15,"High",IF(K64&gt;=8,"Medium","Low")))</f>
        <v/>
      </c>
    </row>
    <row r="65">
      <c r="H65" s="60">
        <f>IF($D$212="","",MAX(0,10-(YEAR(TODAY())-YEAR($D$212))))</f>
        <v/>
      </c>
      <c r="K65" s="51">
        <f>IF(COUNT(I65:J65)=2,I65*J65,"")</f>
        <v/>
      </c>
      <c r="L65" s="52">
        <f>IF(K65="","",IF(K65&gt;=15,"High",IF(K65&gt;=8,"Medium","Low")))</f>
        <v/>
      </c>
    </row>
    <row r="66">
      <c r="H66" s="60">
        <f>IF($D$212="","",MAX(0,10-(YEAR(TODAY())-YEAR($D$212))))</f>
        <v/>
      </c>
      <c r="K66" s="51">
        <f>IF(COUNT(I66:J66)=2,I66*J66,"")</f>
        <v/>
      </c>
      <c r="L66" s="52">
        <f>IF(K66="","",IF(K66&gt;=15,"High",IF(K66&gt;=8,"Medium","Low")))</f>
        <v/>
      </c>
    </row>
    <row r="67">
      <c r="H67" s="60">
        <f>IF($D$212="","",MAX(0,10-(YEAR(TODAY())-YEAR($D$212))))</f>
        <v/>
      </c>
      <c r="K67" s="51">
        <f>IF(COUNT(I67:J67)=2,I67*J67,"")</f>
        <v/>
      </c>
      <c r="L67" s="52">
        <f>IF(K67="","",IF(K67&gt;=15,"High",IF(K67&gt;=8,"Medium","Low")))</f>
        <v/>
      </c>
    </row>
    <row r="68">
      <c r="H68" s="60">
        <f>IF($D$212="","",MAX(0,10-(YEAR(TODAY())-YEAR($D$212))))</f>
        <v/>
      </c>
      <c r="K68" s="51">
        <f>IF(COUNT(I68:J68)=2,I68*J68,"")</f>
        <v/>
      </c>
      <c r="L68" s="52">
        <f>IF(K68="","",IF(K68&gt;=15,"High",IF(K68&gt;=8,"Medium","Low")))</f>
        <v/>
      </c>
    </row>
    <row r="69">
      <c r="H69" s="60">
        <f>IF($D$212="","",MAX(0,10-(YEAR(TODAY())-YEAR($D$212))))</f>
        <v/>
      </c>
      <c r="K69" s="51">
        <f>IF(COUNT(I69:J69)=2,I69*J69,"")</f>
        <v/>
      </c>
      <c r="L69" s="52">
        <f>IF(K69="","",IF(K69&gt;=15,"High",IF(K69&gt;=8,"Medium","Low")))</f>
        <v/>
      </c>
    </row>
    <row r="70">
      <c r="H70" s="60">
        <f>IF($D$212="","",MAX(0,10-(YEAR(TODAY())-YEAR($D$212))))</f>
        <v/>
      </c>
      <c r="K70" s="51">
        <f>IF(COUNT(I70:J70)=2,I70*J70,"")</f>
        <v/>
      </c>
      <c r="L70" s="52">
        <f>IF(K70="","",IF(K70&gt;=15,"High",IF(K70&gt;=8,"Medium","Low")))</f>
        <v/>
      </c>
    </row>
    <row r="71">
      <c r="H71" s="60">
        <f>IF($D$212="","",MAX(0,10-(YEAR(TODAY())-YEAR($D$212))))</f>
        <v/>
      </c>
      <c r="K71" s="51">
        <f>IF(COUNT(I71:J71)=2,I71*J71,"")</f>
        <v/>
      </c>
      <c r="L71" s="52">
        <f>IF(K71="","",IF(K71&gt;=15,"High",IF(K71&gt;=8,"Medium","Low")))</f>
        <v/>
      </c>
    </row>
    <row r="72">
      <c r="H72" s="60">
        <f>IF($D$212="","",MAX(0,10-(YEAR(TODAY())-YEAR($D$212))))</f>
        <v/>
      </c>
      <c r="K72" s="51">
        <f>IF(COUNT(I72:J72)=2,I72*J72,"")</f>
        <v/>
      </c>
      <c r="L72" s="52">
        <f>IF(K72="","",IF(K72&gt;=15,"High",IF(K72&gt;=8,"Medium","Low")))</f>
        <v/>
      </c>
    </row>
    <row r="73">
      <c r="H73" s="60">
        <f>IF($D$212="","",MAX(0,10-(YEAR(TODAY())-YEAR($D$212))))</f>
        <v/>
      </c>
      <c r="K73" s="51">
        <f>IF(COUNT(I73:J73)=2,I73*J73,"")</f>
        <v/>
      </c>
      <c r="L73" s="52">
        <f>IF(K73="","",IF(K73&gt;=15,"High",IF(K73&gt;=8,"Medium","Low")))</f>
        <v/>
      </c>
    </row>
    <row r="74">
      <c r="H74" s="60">
        <f>IF($D$212="","",MAX(0,10-(YEAR(TODAY())-YEAR($D$212))))</f>
        <v/>
      </c>
      <c r="K74" s="51">
        <f>IF(COUNT(I74:J74)=2,I74*J74,"")</f>
        <v/>
      </c>
      <c r="L74" s="52">
        <f>IF(K74="","",IF(K74&gt;=15,"High",IF(K74&gt;=8,"Medium","Low")))</f>
        <v/>
      </c>
    </row>
    <row r="75">
      <c r="H75" s="60">
        <f>IF($D$212="","",MAX(0,10-(YEAR(TODAY())-YEAR($D$212))))</f>
        <v/>
      </c>
      <c r="K75" s="51">
        <f>IF(COUNT(I75:J75)=2,I75*J75,"")</f>
        <v/>
      </c>
      <c r="L75" s="52">
        <f>IF(K75="","",IF(K75&gt;=15,"High",IF(K75&gt;=8,"Medium","Low")))</f>
        <v/>
      </c>
    </row>
    <row r="76">
      <c r="H76" s="60">
        <f>IF($D$212="","",MAX(0,10-(YEAR(TODAY())-YEAR($D$212))))</f>
        <v/>
      </c>
      <c r="K76" s="51">
        <f>IF(COUNT(I76:J76)=2,I76*J76,"")</f>
        <v/>
      </c>
      <c r="L76" s="52">
        <f>IF(K76="","",IF(K76&gt;=15,"High",IF(K76&gt;=8,"Medium","Low")))</f>
        <v/>
      </c>
    </row>
    <row r="77">
      <c r="H77" s="60">
        <f>IF($D$212="","",MAX(0,10-(YEAR(TODAY())-YEAR($D$212))))</f>
        <v/>
      </c>
      <c r="K77" s="51">
        <f>IF(COUNT(I77:J77)=2,I77*J77,"")</f>
        <v/>
      </c>
      <c r="L77" s="52">
        <f>IF(K77="","",IF(K77&gt;=15,"High",IF(K77&gt;=8,"Medium","Low")))</f>
        <v/>
      </c>
    </row>
    <row r="78">
      <c r="H78" s="60">
        <f>IF($D$212="","",MAX(0,10-(YEAR(TODAY())-YEAR($D$212))))</f>
        <v/>
      </c>
      <c r="K78" s="51">
        <f>IF(COUNT(I78:J78)=2,I78*J78,"")</f>
        <v/>
      </c>
      <c r="L78" s="52">
        <f>IF(K78="","",IF(K78&gt;=15,"High",IF(K78&gt;=8,"Medium","Low")))</f>
        <v/>
      </c>
    </row>
    <row r="79">
      <c r="H79" s="60">
        <f>IF($D$212="","",MAX(0,10-(YEAR(TODAY())-YEAR($D$212))))</f>
        <v/>
      </c>
      <c r="K79" s="51">
        <f>IF(COUNT(I79:J79)=2,I79*J79,"")</f>
        <v/>
      </c>
      <c r="L79" s="52">
        <f>IF(K79="","",IF(K79&gt;=15,"High",IF(K79&gt;=8,"Medium","Low")))</f>
        <v/>
      </c>
    </row>
    <row r="80">
      <c r="H80" s="60">
        <f>IF($D$212="","",MAX(0,10-(YEAR(TODAY())-YEAR($D$212))))</f>
        <v/>
      </c>
      <c r="K80" s="51">
        <f>IF(COUNT(I80:J80)=2,I80*J80,"")</f>
        <v/>
      </c>
      <c r="L80" s="52">
        <f>IF(K80="","",IF(K80&gt;=15,"High",IF(K80&gt;=8,"Medium","Low")))</f>
        <v/>
      </c>
    </row>
    <row r="81">
      <c r="H81" s="60">
        <f>IF($D$212="","",MAX(0,10-(YEAR(TODAY())-YEAR($D$212))))</f>
        <v/>
      </c>
      <c r="K81" s="51">
        <f>IF(COUNT(I81:J81)=2,I81*J81,"")</f>
        <v/>
      </c>
      <c r="L81" s="52">
        <f>IF(K81="","",IF(K81&gt;=15,"High",IF(K81&gt;=8,"Medium","Low")))</f>
        <v/>
      </c>
    </row>
    <row r="82">
      <c r="H82" s="60">
        <f>IF($D$212="","",MAX(0,10-(YEAR(TODAY())-YEAR($D$212))))</f>
        <v/>
      </c>
      <c r="K82" s="51">
        <f>IF(COUNT(I82:J82)=2,I82*J82,"")</f>
        <v/>
      </c>
      <c r="L82" s="52">
        <f>IF(K82="","",IF(K82&gt;=15,"High",IF(K82&gt;=8,"Medium","Low")))</f>
        <v/>
      </c>
    </row>
    <row r="83">
      <c r="H83" s="60">
        <f>IF($D$212="","",MAX(0,10-(YEAR(TODAY())-YEAR($D$212))))</f>
        <v/>
      </c>
      <c r="K83" s="51">
        <f>IF(COUNT(I83:J83)=2,I83*J83,"")</f>
        <v/>
      </c>
      <c r="L83" s="52">
        <f>IF(K83="","",IF(K83&gt;=15,"High",IF(K83&gt;=8,"Medium","Low")))</f>
        <v/>
      </c>
    </row>
    <row r="84">
      <c r="H84" s="60">
        <f>IF($D$212="","",MAX(0,10-(YEAR(TODAY())-YEAR($D$212))))</f>
        <v/>
      </c>
      <c r="K84" s="51">
        <f>IF(COUNT(I84:J84)=2,I84*J84,"")</f>
        <v/>
      </c>
      <c r="L84" s="52">
        <f>IF(K84="","",IF(K84&gt;=15,"High",IF(K84&gt;=8,"Medium","Low")))</f>
        <v/>
      </c>
    </row>
    <row r="85">
      <c r="H85" s="60">
        <f>IF($D$212="","",MAX(0,10-(YEAR(TODAY())-YEAR($D$212))))</f>
        <v/>
      </c>
      <c r="K85" s="51">
        <f>IF(COUNT(I85:J85)=2,I85*J85,"")</f>
        <v/>
      </c>
      <c r="L85" s="52">
        <f>IF(K85="","",IF(K85&gt;=15,"High",IF(K85&gt;=8,"Medium","Low")))</f>
        <v/>
      </c>
    </row>
    <row r="86">
      <c r="H86" s="60">
        <f>IF($D$212="","",MAX(0,10-(YEAR(TODAY())-YEAR($D$212))))</f>
        <v/>
      </c>
      <c r="K86" s="51">
        <f>IF(COUNT(I86:J86)=2,I86*J86,"")</f>
        <v/>
      </c>
      <c r="L86" s="52">
        <f>IF(K86="","",IF(K86&gt;=15,"High",IF(K86&gt;=8,"Medium","Low")))</f>
        <v/>
      </c>
    </row>
    <row r="87">
      <c r="H87" s="60">
        <f>IF($D$212="","",MAX(0,10-(YEAR(TODAY())-YEAR($D$212))))</f>
        <v/>
      </c>
      <c r="K87" s="51">
        <f>IF(COUNT(I87:J87)=2,I87*J87,"")</f>
        <v/>
      </c>
      <c r="L87" s="52">
        <f>IF(K87="","",IF(K87&gt;=15,"High",IF(K87&gt;=8,"Medium","Low")))</f>
        <v/>
      </c>
    </row>
    <row r="88">
      <c r="H88" s="60">
        <f>IF($D$212="","",MAX(0,10-(YEAR(TODAY())-YEAR($D$212))))</f>
        <v/>
      </c>
      <c r="K88" s="51">
        <f>IF(COUNT(I88:J88)=2,I88*J88,"")</f>
        <v/>
      </c>
      <c r="L88" s="52">
        <f>IF(K88="","",IF(K88&gt;=15,"High",IF(K88&gt;=8,"Medium","Low")))</f>
        <v/>
      </c>
    </row>
    <row r="89">
      <c r="H89" s="60">
        <f>IF($D$212="","",MAX(0,10-(YEAR(TODAY())-YEAR($D$212))))</f>
        <v/>
      </c>
      <c r="K89" s="51">
        <f>IF(COUNT(I89:J89)=2,I89*J89,"")</f>
        <v/>
      </c>
      <c r="L89" s="52">
        <f>IF(K89="","",IF(K89&gt;=15,"High",IF(K89&gt;=8,"Medium","Low")))</f>
        <v/>
      </c>
    </row>
    <row r="90">
      <c r="H90" s="60">
        <f>IF($D$212="","",MAX(0,10-(YEAR(TODAY())-YEAR($D$212))))</f>
        <v/>
      </c>
      <c r="K90" s="51">
        <f>IF(COUNT(I90:J90)=2,I90*J90,"")</f>
        <v/>
      </c>
      <c r="L90" s="52">
        <f>IF(K90="","",IF(K90&gt;=15,"High",IF(K90&gt;=8,"Medium","Low")))</f>
        <v/>
      </c>
    </row>
    <row r="91">
      <c r="H91" s="60">
        <f>IF($D$212="","",MAX(0,10-(YEAR(TODAY())-YEAR($D$212))))</f>
        <v/>
      </c>
      <c r="K91" s="51">
        <f>IF(COUNT(I91:J91)=2,I91*J91,"")</f>
        <v/>
      </c>
      <c r="L91" s="52">
        <f>IF(K91="","",IF(K91&gt;=15,"High",IF(K91&gt;=8,"Medium","Low")))</f>
        <v/>
      </c>
    </row>
    <row r="92">
      <c r="H92" s="60">
        <f>IF($D$212="","",MAX(0,10-(YEAR(TODAY())-YEAR($D$212))))</f>
        <v/>
      </c>
      <c r="K92" s="51">
        <f>IF(COUNT(I92:J92)=2,I92*J92,"")</f>
        <v/>
      </c>
      <c r="L92" s="52">
        <f>IF(K92="","",IF(K92&gt;=15,"High",IF(K92&gt;=8,"Medium","Low")))</f>
        <v/>
      </c>
    </row>
    <row r="93">
      <c r="H93" s="60">
        <f>IF($D$212="","",MAX(0,10-(YEAR(TODAY())-YEAR($D$212))))</f>
        <v/>
      </c>
      <c r="K93" s="51">
        <f>IF(COUNT(I93:J93)=2,I93*J93,"")</f>
        <v/>
      </c>
      <c r="L93" s="52">
        <f>IF(K93="","",IF(K93&gt;=15,"High",IF(K93&gt;=8,"Medium","Low")))</f>
        <v/>
      </c>
    </row>
    <row r="94">
      <c r="H94" s="60">
        <f>IF($D$212="","",MAX(0,10-(YEAR(TODAY())-YEAR($D$212))))</f>
        <v/>
      </c>
      <c r="K94" s="51">
        <f>IF(COUNT(I94:J94)=2,I94*J94,"")</f>
        <v/>
      </c>
      <c r="L94" s="52">
        <f>IF(K94="","",IF(K94&gt;=15,"High",IF(K94&gt;=8,"Medium","Low")))</f>
        <v/>
      </c>
    </row>
    <row r="95">
      <c r="H95" s="60">
        <f>IF($D$212="","",MAX(0,10-(YEAR(TODAY())-YEAR($D$212))))</f>
        <v/>
      </c>
      <c r="K95" s="51">
        <f>IF(COUNT(I95:J95)=2,I95*J95,"")</f>
        <v/>
      </c>
      <c r="L95" s="52">
        <f>IF(K95="","",IF(K95&gt;=15,"High",IF(K95&gt;=8,"Medium","Low")))</f>
        <v/>
      </c>
    </row>
    <row r="96">
      <c r="H96" s="60">
        <f>IF($D$212="","",MAX(0,10-(YEAR(TODAY())-YEAR($D$212))))</f>
        <v/>
      </c>
      <c r="K96" s="51">
        <f>IF(COUNT(I96:J96)=2,I96*J96,"")</f>
        <v/>
      </c>
      <c r="L96" s="52">
        <f>IF(K96="","",IF(K96&gt;=15,"High",IF(K96&gt;=8,"Medium","Low")))</f>
        <v/>
      </c>
    </row>
    <row r="97">
      <c r="H97" s="60">
        <f>IF($D$212="","",MAX(0,10-(YEAR(TODAY())-YEAR($D$212))))</f>
        <v/>
      </c>
      <c r="K97" s="51">
        <f>IF(COUNT(I97:J97)=2,I97*J97,"")</f>
        <v/>
      </c>
      <c r="L97" s="52">
        <f>IF(K97="","",IF(K97&gt;=15,"High",IF(K97&gt;=8,"Medium","Low")))</f>
        <v/>
      </c>
    </row>
    <row r="98">
      <c r="H98" s="60">
        <f>IF($D$212="","",MAX(0,10-(YEAR(TODAY())-YEAR($D$212))))</f>
        <v/>
      </c>
      <c r="K98" s="51">
        <f>IF(COUNT(I98:J98)=2,I98*J98,"")</f>
        <v/>
      </c>
      <c r="L98" s="52">
        <f>IF(K98="","",IF(K98&gt;=15,"High",IF(K98&gt;=8,"Medium","Low")))</f>
        <v/>
      </c>
    </row>
    <row r="99">
      <c r="H99" s="60">
        <f>IF($D$212="","",MAX(0,10-(YEAR(TODAY())-YEAR($D$212))))</f>
        <v/>
      </c>
      <c r="K99" s="51">
        <f>IF(COUNT(I99:J99)=2,I99*J99,"")</f>
        <v/>
      </c>
      <c r="L99" s="52">
        <f>IF(K99="","",IF(K99&gt;=15,"High",IF(K99&gt;=8,"Medium","Low")))</f>
        <v/>
      </c>
    </row>
    <row r="100">
      <c r="H100" s="60">
        <f>IF($D$212="","",MAX(0,10-(YEAR(TODAY())-YEAR($D$212))))</f>
        <v/>
      </c>
      <c r="K100" s="51">
        <f>IF(COUNT(I100:J100)=2,I100*J100,"")</f>
        <v/>
      </c>
      <c r="L100" s="52">
        <f>IF(K100="","",IF(K100&gt;=15,"High",IF(K100&gt;=8,"Medium","Low")))</f>
        <v/>
      </c>
    </row>
    <row r="101">
      <c r="H101" s="60">
        <f>IF($D$212="","",MAX(0,10-(YEAR(TODAY())-YEAR($D$212))))</f>
        <v/>
      </c>
      <c r="K101" s="51">
        <f>IF(COUNT(I101:J101)=2,I101*J101,"")</f>
        <v/>
      </c>
      <c r="L101" s="52">
        <f>IF(K101="","",IF(K101&gt;=15,"High",IF(K101&gt;=8,"Medium","Low")))</f>
        <v/>
      </c>
    </row>
    <row r="102">
      <c r="H102" s="60">
        <f>IF($D$212="","",MAX(0,10-(YEAR(TODAY())-YEAR($D$212))))</f>
        <v/>
      </c>
      <c r="K102" s="51">
        <f>IF(COUNT(I102:J102)=2,I102*J102,"")</f>
        <v/>
      </c>
      <c r="L102" s="52">
        <f>IF(K102="","",IF(K102&gt;=15,"High",IF(K102&gt;=8,"Medium","Low")))</f>
        <v/>
      </c>
    </row>
    <row r="103">
      <c r="H103" s="60">
        <f>IF($D$212="","",MAX(0,10-(YEAR(TODAY())-YEAR($D$212))))</f>
        <v/>
      </c>
      <c r="K103" s="51">
        <f>IF(COUNT(I103:J103)=2,I103*J103,"")</f>
        <v/>
      </c>
      <c r="L103" s="52">
        <f>IF(K103="","",IF(K103&gt;=15,"High",IF(K103&gt;=8,"Medium","Low")))</f>
        <v/>
      </c>
    </row>
    <row r="104">
      <c r="H104" s="60">
        <f>IF($D$212="","",MAX(0,10-(YEAR(TODAY())-YEAR($D$212))))</f>
        <v/>
      </c>
      <c r="K104" s="51">
        <f>IF(COUNT(I104:J104)=2,I104*J104,"")</f>
        <v/>
      </c>
      <c r="L104" s="52">
        <f>IF(K104="","",IF(K104&gt;=15,"High",IF(K104&gt;=8,"Medium","Low")))</f>
        <v/>
      </c>
    </row>
    <row r="210">
      <c r="A210" s="53" t="inlineStr">
        <is>
          <t>Portfolio position</t>
        </is>
      </c>
    </row>
    <row r="211">
      <c r="A211" s="6" t="inlineStr">
        <is>
          <t>Project delivery or handover date</t>
        </is>
      </c>
    </row>
    <row r="212">
      <c r="D212" s="61" t="n"/>
    </row>
    <row r="213">
      <c r="A213" s="6" t="inlineStr">
        <is>
          <t>Items in the register</t>
        </is>
      </c>
      <c r="D213" s="54">
        <f>COUNTA(A5:A104)</f>
        <v/>
      </c>
    </row>
    <row r="214">
      <c r="A214" s="6" t="inlineStr">
        <is>
          <t>Items with a stability or safety impact</t>
        </is>
      </c>
      <c r="D214" s="54">
        <f>COUNTIF(E5:E104,"Y")</f>
        <v/>
      </c>
    </row>
    <row r="215">
      <c r="A215" s="6" t="inlineStr">
        <is>
          <t>High band items</t>
        </is>
      </c>
      <c r="D215" s="54">
        <f>COUNTIF(L5:L104,"High")</f>
        <v/>
      </c>
    </row>
    <row r="216">
      <c r="A216" s="6" t="inlineStr">
        <is>
          <t>Medium band items</t>
        </is>
      </c>
      <c r="D216" s="54">
        <f>COUNTIF(L5:L104,"Medium")</f>
        <v/>
      </c>
    </row>
    <row r="217">
      <c r="A217" s="6" t="inlineStr">
        <is>
          <t>Open or in progress</t>
        </is>
      </c>
      <c r="D217" s="54">
        <f>COUNTIF(O5:O104,"In progress")+COUNTIF(O5:O104,"Monitoring")</f>
        <v/>
      </c>
    </row>
    <row r="218">
      <c r="A218" s="6" t="inlineStr">
        <is>
          <t>Aggregate risk score</t>
        </is>
      </c>
      <c r="D218" s="54">
        <f>SUM(K5:K104)</f>
        <v/>
      </c>
    </row>
  </sheetData>
  <mergeCells count="2">
    <mergeCell ref="A2:R2"/>
    <mergeCell ref="A1:R1"/>
  </mergeCells>
  <pageMargins left="0.75" right="0.75" top="1" bottom="1" header="0.5" footer="0.5"/>
  <pageSetup orientation="landscape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AA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34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34" customWidth="1" min="15" max="15"/>
    <col width="26" customWidth="1" min="16" max="16"/>
    <col width="11" customWidth="1" min="17" max="17"/>
    <col width="14" customWidth="1" min="18" max="18"/>
    <col width="11" customWidth="1" min="19" max="19"/>
    <col width="11" customWidth="1" min="20" max="20"/>
    <col width="11" customWidth="1" min="21" max="21"/>
    <col width="13" customWidth="1" min="22" max="22"/>
    <col width="26" customWidth="1" min="23" max="23"/>
    <col width="14" customWidth="1" min="24" max="24"/>
    <col width="30" customWidth="1" min="25" max="25"/>
    <col width="12" customWidth="1" min="26" max="26"/>
    <col width="10" customWidth="1" min="27" max="27"/>
  </cols>
  <sheetData>
    <row r="1" ht="22" customHeight="1">
      <c r="A1" s="43" t="inlineStr">
        <is>
          <t>18. Root cause and CAPA tracker</t>
        </is>
      </c>
    </row>
    <row r="2" ht="28" customHeight="1">
      <c r="A2" s="44" t="inlineStr">
        <is>
          <t>Every rectified item under the retrospective audit protocol carries a completed 5 Whys chain, a SMART corrective action, a measurable preventive action with a monitoring mechanism, named responsibilities and dates, and evidence of effectiveness reviewed at least one cycle after implementation. An action without effectiveness evidence remains open.</t>
        </is>
      </c>
    </row>
    <row r="4" ht="34" customHeight="1">
      <c r="A4" s="45" t="inlineStr">
        <is>
          <t>Ref</t>
        </is>
      </c>
      <c r="B4" s="45" t="inlineStr">
        <is>
          <t>Item / NCR ref</t>
        </is>
      </c>
      <c r="C4" s="45" t="inlineStr">
        <is>
          <t>Why 1</t>
        </is>
      </c>
      <c r="D4" s="45" t="inlineStr">
        <is>
          <t>Why 2</t>
        </is>
      </c>
      <c r="E4" s="45" t="inlineStr">
        <is>
          <t>Why 3</t>
        </is>
      </c>
      <c r="F4" s="45" t="inlineStr">
        <is>
          <t>Why 4</t>
        </is>
      </c>
      <c r="G4" s="45" t="inlineStr">
        <is>
          <t>Why 5</t>
        </is>
      </c>
      <c r="H4" s="45" t="inlineStr">
        <is>
          <t>Root cause</t>
        </is>
      </c>
      <c r="I4" s="45" t="inlineStr">
        <is>
          <t>Corrective action (SMART)</t>
        </is>
      </c>
      <c r="J4" s="45" t="inlineStr">
        <is>
          <t>Specific</t>
        </is>
      </c>
      <c r="K4" s="45" t="inlineStr">
        <is>
          <t>Measurable</t>
        </is>
      </c>
      <c r="L4" s="45" t="inlineStr">
        <is>
          <t>Achievable</t>
        </is>
      </c>
      <c r="M4" s="45" t="inlineStr">
        <is>
          <t>Relevant</t>
        </is>
      </c>
      <c r="N4" s="45" t="inlineStr">
        <is>
          <t>Time-bound</t>
        </is>
      </c>
      <c r="O4" s="45" t="inlineStr">
        <is>
          <t>Preventive action (measurable)</t>
        </is>
      </c>
      <c r="P4" s="45" t="inlineStr">
        <is>
          <t>Monitoring mechanism</t>
        </is>
      </c>
      <c r="Q4" s="45" t="inlineStr">
        <is>
          <t>Frequency</t>
        </is>
      </c>
      <c r="R4" s="45" t="inlineStr">
        <is>
          <t>Responsible (named)</t>
        </is>
      </c>
      <c r="S4" s="45" t="inlineStr">
        <is>
          <t>Start date</t>
        </is>
      </c>
      <c r="T4" s="45" t="inlineStr">
        <is>
          <t>Target date</t>
        </is>
      </c>
      <c r="U4" s="45" t="inlineStr">
        <is>
          <t>Actual date</t>
        </is>
      </c>
      <c r="V4" s="45" t="inlineStr">
        <is>
          <t>Status</t>
        </is>
      </c>
      <c r="W4" s="45" t="inlineStr">
        <is>
          <t>Rectification method</t>
        </is>
      </c>
      <c r="X4" s="45" t="inlineStr">
        <is>
          <t>Rectification evidence ref</t>
        </is>
      </c>
      <c r="Y4" s="45" t="inlineStr">
        <is>
          <t>Effectiveness evidence</t>
        </is>
      </c>
      <c r="Z4" s="45" t="inlineStr">
        <is>
          <t>Effectiveness reviewed on</t>
        </is>
      </c>
      <c r="AA4" s="45" t="inlineStr">
        <is>
          <t>Effectiveness confirmed (Y/N)</t>
        </is>
      </c>
    </row>
    <row r="5">
      <c r="A5" s="56" t="inlineStr">
        <is>
          <t>RCA-001</t>
        </is>
      </c>
      <c r="B5" s="56" t="inlineStr">
        <is>
          <t>NCR-0142</t>
        </is>
      </c>
      <c r="C5" s="46" t="inlineStr">
        <is>
          <t>The closure certificate was signed without the cube results</t>
        </is>
      </c>
      <c r="D5" s="46" t="inlineStr">
        <is>
          <t>The closure template had no mandatory evidence field</t>
        </is>
      </c>
      <c r="E5" s="46" t="inlineStr">
        <is>
          <t>The quality plan required evidence but the template was not aligned to it</t>
        </is>
      </c>
      <c r="F5" s="46" t="inlineStr">
        <is>
          <t>The template was issued before the quality plan was revised</t>
        </is>
      </c>
      <c r="G5" s="46" t="inlineStr">
        <is>
          <t>No review of the template against the approved plan</t>
        </is>
      </c>
      <c r="H5" s="46" t="inlineStr">
        <is>
          <t>Closure template not aligned to the quality plan, with no review control</t>
        </is>
      </c>
      <c r="I5" s="46" t="inlineStr">
        <is>
          <t>Revise the closure certificate to require a mandatory evidence list with a reference for each item</t>
        </is>
      </c>
      <c r="J5" s="46" t="inlineStr">
        <is>
          <t>The revised template is issued under a controlled revision</t>
        </is>
      </c>
      <c r="K5" s="46" t="inlineStr">
        <is>
          <t>Completeness checked on 20 sample closures</t>
        </is>
      </c>
      <c r="L5" s="46" t="inlineStr">
        <is>
          <t>Template change is within the QA function's control</t>
        </is>
      </c>
      <c r="M5" s="46" t="inlineStr">
        <is>
          <t>Directly removes the root cause of the finding</t>
        </is>
      </c>
      <c r="N5" s="46" t="inlineStr">
        <is>
          <t>Within 14 days of the disposition</t>
        </is>
      </c>
      <c r="O5" s="46" t="inlineStr">
        <is>
          <t>Six-monthly template-to-plan alignment review added to the QA calendar</t>
        </is>
      </c>
      <c r="P5" s="46" t="inlineStr">
        <is>
          <t>Sample audit of new closures against the revised template</t>
        </is>
      </c>
      <c r="Q5" s="46" t="inlineStr">
        <is>
          <t>Monthly</t>
        </is>
      </c>
      <c r="R5" s="46" t="inlineStr">
        <is>
          <t>PMC Quality Manager</t>
        </is>
      </c>
      <c r="S5" s="46" t="inlineStr"/>
      <c r="T5" s="46" t="inlineStr"/>
      <c r="U5" s="46" t="inlineStr"/>
      <c r="V5" s="46" t="inlineStr">
        <is>
          <t>In progress</t>
        </is>
      </c>
      <c r="W5" s="46" t="inlineStr">
        <is>
          <t>Re-test the element and file the results</t>
        </is>
      </c>
      <c r="X5" s="46" t="inlineStr">
        <is>
          <t>RC-001 supporting pack</t>
        </is>
      </c>
      <c r="Y5" s="46" t="inlineStr">
        <is>
          <t>20 consecutive closures with complete evidence packs</t>
        </is>
      </c>
      <c r="Z5" s="46" t="inlineStr"/>
      <c r="AA5" s="46" t="inlineStr"/>
    </row>
    <row r="6">
      <c r="A6" s="58" t="inlineStr">
        <is>
          <t>RCA-002</t>
        </is>
      </c>
      <c r="B6" s="58" t="inlineStr">
        <is>
          <t>NCR-0203</t>
        </is>
      </c>
      <c r="C6" s="46" t="inlineStr">
        <is>
          <t>Penetration seals were closed without a system reference</t>
        </is>
      </c>
      <c r="D6" s="46" t="inlineStr">
        <is>
          <t>The installer used an unapproved system on site</t>
        </is>
      </c>
      <c r="E6" s="46" t="inlineStr">
        <is>
          <t>Material control did not check the fire-stopping system against the approval</t>
        </is>
      </c>
      <c r="F6" s="46" t="inlineStr">
        <is>
          <t>The store issue process had no fire-safety control</t>
        </is>
      </c>
      <c r="G6" s="46" t="inlineStr">
        <is>
          <t>Fire-stopping was not treated as a controlled material</t>
        </is>
      </c>
      <c r="H6" s="46" t="inlineStr">
        <is>
          <t>Material control process omitted fire-stopping systems</t>
        </is>
      </c>
      <c r="I6" s="46" t="inlineStr">
        <is>
          <t>Add fire-stopping systems to the controlled material list with approval verification at issue</t>
        </is>
      </c>
      <c r="J6" s="46" t="inlineStr">
        <is>
          <t>All fire-stopping systems issued only against an approved submittal</t>
        </is>
      </c>
      <c r="K6" s="46" t="inlineStr">
        <is>
          <t>Zero unapproved systems on the next monthly store audit</t>
        </is>
      </c>
      <c r="L6" s="46" t="inlineStr">
        <is>
          <t>Store control is within the contractor's control</t>
        </is>
      </c>
      <c r="M6" s="46" t="inlineStr">
        <is>
          <t>Prevents recurrence at source</t>
        </is>
      </c>
      <c r="N6" s="46" t="inlineStr">
        <is>
          <t>Within 21 days</t>
        </is>
      </c>
      <c r="O6" s="46" t="inlineStr">
        <is>
          <t>Inspector competency refresher for passive fire protection</t>
        </is>
      </c>
      <c r="P6" s="46" t="inlineStr">
        <is>
          <t>Monthly store audit plus 100 per cent penetration re-inspection</t>
        </is>
      </c>
      <c r="Q6" s="46" t="inlineStr">
        <is>
          <t>Monthly</t>
        </is>
      </c>
      <c r="R6" s="46" t="inlineStr">
        <is>
          <t>Contractor QA Manager, verified by PMC</t>
        </is>
      </c>
      <c r="S6" s="46" t="inlineStr"/>
      <c r="T6" s="46" t="inlineStr"/>
      <c r="U6" s="46" t="inlineStr"/>
      <c r="V6" s="46" t="inlineStr">
        <is>
          <t>In progress</t>
        </is>
      </c>
      <c r="W6" s="46" t="inlineStr">
        <is>
          <t>Re-inspect and re-document 100 per cent of penetrations</t>
        </is>
      </c>
      <c r="X6" s="46" t="inlineStr">
        <is>
          <t>RC-002 supporting pack</t>
        </is>
      </c>
      <c r="Y6" s="46" t="inlineStr">
        <is>
          <t>Zero findings in the following two quarterly inspections</t>
        </is>
      </c>
      <c r="Z6" s="46" t="inlineStr"/>
      <c r="AA6" s="46" t="inlineStr"/>
    </row>
  </sheetData>
  <mergeCells count="2">
    <mergeCell ref="A1:AA1"/>
    <mergeCell ref="A2:AA2"/>
  </mergeCells>
  <dataValidations count="2">
    <dataValidation sqref="V5:V104" showDropDown="0" showInputMessage="0" showErrorMessage="0" allowBlank="1" type="list">
      <formula1>"Not started,In progress,Complete,Pending effectiveness,Closed"</formula1>
    </dataValidation>
    <dataValidation sqref="AA5:AA104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62" customWidth="1" min="3" max="3"/>
    <col width="9" customWidth="1" min="4" max="4"/>
    <col width="11" customWidth="1" min="5" max="5"/>
    <col width="40" customWidth="1" min="6" max="6"/>
    <col width="14" customWidth="1" min="7" max="7"/>
  </cols>
  <sheetData>
    <row r="1" ht="22" customHeight="1">
      <c r="A1" s="62" t="inlineStr">
        <is>
          <t>19. Risk alert engine - instant high-risk flags by project phase</t>
        </is>
      </c>
    </row>
    <row r="2" ht="40" customHeight="1">
      <c r="A2" s="44" t="inlineStr">
        <is>
          <t>Every count below is live: it recalculates from the NCR Register (sheets 2 and 16) and the Decennial Risk Register (sheet 17) as data is entered, so the high-risk position is visible without any manual sorting. The per-item score, flag and reason are calculated in columns AJ to AL of the NCR Register. For cross-project, ranked and time-series analysis, run the SQL query pack (ncr_flag_queries.sql) through the runner (ncr_risk_engine.py).</t>
        </is>
      </c>
    </row>
    <row r="4" ht="32" customHeight="1">
      <c r="A4" s="45" t="inlineStr">
        <is>
          <t>Rule</t>
        </is>
      </c>
      <c r="B4" s="45" t="inlineStr">
        <is>
          <t>Project phase</t>
        </is>
      </c>
      <c r="C4" s="45" t="inlineStr">
        <is>
          <t>Alert condition (fires automatically)</t>
        </is>
      </c>
      <c r="D4" s="45" t="inlineStr">
        <is>
          <t>Live count</t>
        </is>
      </c>
      <c r="E4" s="45" t="inlineStr">
        <is>
          <t>Threshold</t>
        </is>
      </c>
      <c r="F4" s="45" t="inlineStr">
        <is>
          <t>Automatic action</t>
        </is>
      </c>
      <c r="G4" s="45" t="inlineStr">
        <is>
          <t>Owner</t>
        </is>
      </c>
    </row>
    <row r="5">
      <c r="A5" s="56" t="inlineStr">
        <is>
          <t>R-01</t>
        </is>
      </c>
      <c r="B5" s="56" t="inlineStr">
        <is>
          <t>Phase 1 - Design, permits and authority</t>
        </is>
      </c>
      <c r="C5" s="56" t="inlineStr">
        <is>
          <t>Authority-linked or NOC-linked NCRs still open (column AB = Yes and no closure date)</t>
        </is>
      </c>
      <c r="D5" s="63">
        <f>SUMPRODUCT(('2. NCR Register'!$A$5:$A$204&lt;&gt;"")*('2. NCR Register'!$AB$5:$AB$204="Yes")*('2. NCR Register'!$Y$5:$Y$204=""))</f>
        <v/>
      </c>
      <c r="E5" s="56" t="inlineStr">
        <is>
          <t>Any</t>
        </is>
      </c>
      <c r="F5" s="56" t="inlineStr">
        <is>
          <t>Weekly written instruction; withhold the affected valuation line; notify the applicant</t>
        </is>
      </c>
      <c r="G5" s="56" t="inlineStr">
        <is>
          <t>PMC Resident Engineer</t>
        </is>
      </c>
    </row>
    <row r="6">
      <c r="A6" s="58" t="inlineStr">
        <is>
          <t>R-02</t>
        </is>
      </c>
      <c r="B6" s="58" t="inlineStr">
        <is>
          <t>Phase 1 - Design, permits and authority</t>
        </is>
      </c>
      <c r="C6" s="58" t="inlineStr">
        <is>
          <t>Authority-linked closures with no authority / NOC reference recorded</t>
        </is>
      </c>
      <c r="D6" s="63">
        <f>SUMPRODUCT(('2. NCR Register'!$A$5:$A$204&lt;&gt;"")*('2. NCR Register'!$AB$5:$AB$204="Yes")*('2. NCR Register'!$Y$5:$Y$204&lt;&gt;"")*('2. NCR Register'!$AC$5:$AC$204=""))</f>
        <v/>
      </c>
      <c r="E6" s="58" t="inlineStr">
        <is>
          <t>Any</t>
        </is>
      </c>
      <c r="F6" s="58" t="inlineStr">
        <is>
          <t>Verify the instrument directly; re-open the item internally until the instrument is produced</t>
        </is>
      </c>
      <c r="G6" s="58" t="inlineStr">
        <is>
          <t>PMC Quality Manager</t>
        </is>
      </c>
    </row>
    <row r="7">
      <c r="A7" s="56" t="inlineStr">
        <is>
          <t>R-03</t>
        </is>
      </c>
      <c r="B7" s="56" t="inlineStr">
        <is>
          <t>Phase 1 - Design, permits and authority</t>
        </is>
      </c>
      <c r="C7" s="56" t="inlineStr">
        <is>
          <t>Phase 1 items open past their agreed completion date</t>
        </is>
      </c>
      <c r="D7" s="63">
        <f>SUMPRODUCT(('2. NCR Register'!$A$5:$A$204&lt;&gt;"")*('2. NCR Register'!$AI$5:$AI$204="Phase 1 - Design, permits and authority")*('2. NCR Register'!$Y$5:$Y$204="")*('2. NCR Register'!$S$5:$S$204&lt;&gt;"")*('2. NCR Register'!$S$5:$S$204&lt;TODAY()))</f>
        <v/>
      </c>
      <c r="E7" s="56" t="inlineStr">
        <is>
          <t>Any</t>
        </is>
      </c>
      <c r="F7" s="56" t="inlineStr">
        <is>
          <t>Weekly delay list to the contractor's project manager; design or permit hold reviewed</t>
        </is>
      </c>
      <c r="G7" s="56" t="inlineStr">
        <is>
          <t>PMC Resident Engineer</t>
        </is>
      </c>
    </row>
    <row r="8">
      <c r="A8" s="58" t="inlineStr">
        <is>
          <t>R-04</t>
        </is>
      </c>
      <c r="B8" s="58" t="inlineStr">
        <is>
          <t>Phase 2 - Construction and fit-out</t>
        </is>
      </c>
      <c r="C8" s="58" t="inlineStr">
        <is>
          <t>Major or systemic NCRs open past the agreed completion date</t>
        </is>
      </c>
      <c r="D8" s="63">
        <f>SUMPRODUCT(('2. NCR Register'!$A$5:$A$204&lt;&gt;"")*(('2. NCR Register'!$C$5:$C$204="Major")+('2. NCR Register'!$C$5:$C$204="Systemic"))*('2. NCR Register'!$Y$5:$Y$204="")*('2. NCR Register'!$S$5:$S$204&lt;&gt;"")*('2. NCR Register'!$S$5:$S$204&lt;TODAY()))</f>
        <v/>
      </c>
      <c r="E8" s="58" t="inlineStr">
        <is>
          <t>&gt; 0</t>
        </is>
      </c>
      <c r="F8" s="58" t="inlineStr">
        <is>
          <t>Instruction to correct; escalate to Notice to Correct at 14 days past due; payment hold on the item</t>
        </is>
      </c>
      <c r="G8" s="58" t="inlineStr">
        <is>
          <t>PMC Project Director</t>
        </is>
      </c>
    </row>
    <row r="9">
      <c r="A9" s="56" t="inlineStr">
        <is>
          <t>R-05</t>
        </is>
      </c>
      <c r="B9" s="56" t="inlineStr">
        <is>
          <t>Phase 2 - Construction and fit-out</t>
        </is>
      </c>
      <c r="C9" s="56" t="inlineStr">
        <is>
          <t>NCRs recorded as a repeat of a previous NCR and still open</t>
        </is>
      </c>
      <c r="D9" s="63">
        <f>SUMPRODUCT(('2. NCR Register'!$A$5:$A$204&lt;&gt;"")*('2. NCR Register'!$AG$5:$AG$204="Yes")*('2. NCR Register'!$Y$5:$Y$204=""))</f>
        <v/>
      </c>
      <c r="E9" s="56" t="inlineStr">
        <is>
          <t>&gt; 1</t>
        </is>
      </c>
      <c r="F9" s="56" t="inlineStr">
        <is>
          <t>Systemic quality review; audit the contractor's quality management system (ISO 9001 process control); require a system-level CAPA</t>
        </is>
      </c>
      <c r="G9" s="56" t="inlineStr">
        <is>
          <t>PMC Quality Manager</t>
        </is>
      </c>
    </row>
    <row r="10">
      <c r="A10" s="58" t="inlineStr">
        <is>
          <t>R-06</t>
        </is>
      </c>
      <c r="B10" s="58" t="inlineStr">
        <is>
          <t>Phase 2 - Construction and fit-out</t>
        </is>
      </c>
      <c r="C10" s="58" t="inlineStr">
        <is>
          <t>Closed items in the audit tracker with absent evidence and a recorded red flag</t>
        </is>
      </c>
      <c r="D10" s="63">
        <f>SUMPRODUCT(('16. Closure Audit Tracker'!$A$5:$A$204&lt;&gt;"")*('16. Closure Audit Tracker'!$M$5:$M$204="Absent")*('16. Closure Audit Tracker'!$O$5:$O$204="Y"))</f>
        <v/>
      </c>
      <c r="E10" s="58" t="inlineStr">
        <is>
          <t>Any</t>
        </is>
      </c>
      <c r="F10" s="58" t="inlineStr">
        <is>
          <t>Stop the technical review on the affected items; preserve originals; take legal advice</t>
        </is>
      </c>
      <c r="G10" s="58" t="inlineStr">
        <is>
          <t>PMC Project Director</t>
        </is>
      </c>
    </row>
    <row r="11">
      <c r="A11" s="56" t="inlineStr">
        <is>
          <t>R-07</t>
        </is>
      </c>
      <c r="B11" s="56" t="inlineStr">
        <is>
          <t>Phase 3 - Testing and commissioning</t>
        </is>
      </c>
      <c r="C11" s="56" t="inlineStr">
        <is>
          <t>Items closed with no verification date recorded (closure on assurance)</t>
        </is>
      </c>
      <c r="D11" s="63">
        <f>SUMPRODUCT(('2. NCR Register'!$A$5:$A$204&lt;&gt;"")*('2. NCR Register'!$Y$5:$Y$204&lt;&gt;"")*('2. NCR Register'!$V$5:$V$204=""))</f>
        <v/>
      </c>
      <c r="E11" s="56" t="inlineStr">
        <is>
          <t>Any</t>
        </is>
      </c>
      <c r="F11" s="56" t="inlineStr">
        <is>
          <t>Re-verify physically and re-issue the closure through the retrospective certificate route</t>
        </is>
      </c>
      <c r="G11" s="56" t="inlineStr">
        <is>
          <t>PMC Resident Engineer</t>
        </is>
      </c>
    </row>
    <row r="12">
      <c r="A12" s="58" t="inlineStr">
        <is>
          <t>R-08</t>
        </is>
      </c>
      <c r="B12" s="58" t="inlineStr">
        <is>
          <t>Phase 3 - Testing and commissioning</t>
        </is>
      </c>
      <c r="C12" s="58" t="inlineStr">
        <is>
          <t>Items closed without a closure certificate reference</t>
        </is>
      </c>
      <c r="D12" s="63">
        <f>SUMPRODUCT(('2. NCR Register'!$A$5:$A$204&lt;&gt;"")*('2. NCR Register'!$Y$5:$Y$204&lt;&gt;"")*('2. NCR Register'!$X$5:$X$204=""))</f>
        <v/>
      </c>
      <c r="E12" s="58" t="inlineStr">
        <is>
          <t>&gt; 0</t>
        </is>
      </c>
      <c r="F12" s="58" t="inlineStr">
        <is>
          <t>Issue the closure certificate from sheet 12 and file the evidence pack; do not accept verbal closure</t>
        </is>
      </c>
      <c r="G12" s="58" t="inlineStr">
        <is>
          <t>PMC Quality Manager</t>
        </is>
      </c>
    </row>
    <row r="13">
      <c r="A13" s="56" t="inlineStr">
        <is>
          <t>R-09</t>
        </is>
      </c>
      <c r="B13" s="56" t="inlineStr">
        <is>
          <t>Phase 3 - Testing and commissioning</t>
        </is>
      </c>
      <c r="C13" s="56" t="inlineStr">
        <is>
          <t>Discipline NCRs (MEP, fire and life safety) open for 14 days or more</t>
        </is>
      </c>
      <c r="D13" s="63">
        <f>SUMPRODUCT(('2. NCR Register'!$A$5:$A$204&lt;&gt;"")*('2. NCR Register'!$Y$5:$Y$204="")*('2. NCR Register'!$B$5:$B$204&lt;&gt;"")*((TODAY()-'2. NCR Register'!$B$5:$B$204)&gt;=14)*(('2. NCR Register'!$D$5:$D$204="MEP-Electrical")+('2. NCR Register'!$D$5:$D$204="MEP-Mechanical")+('2. NCR Register'!$D$5:$D$204="MEP-Plumbing")+('2. NCR Register'!$D$5:$D$204="Fire and life safety")))</f>
        <v/>
      </c>
      <c r="E13" s="56" t="inlineStr">
        <is>
          <t>Any</t>
        </is>
      </c>
      <c r="F13" s="56" t="inlineStr">
        <is>
          <t>Testing and commissioning hold; witness testing schedule reviewed with the contractor</t>
        </is>
      </c>
      <c r="G13" s="56" t="inlineStr">
        <is>
          <t>PMC Discipline Lead</t>
        </is>
      </c>
    </row>
    <row r="14">
      <c r="A14" s="58" t="inlineStr">
        <is>
          <t>R-10</t>
        </is>
      </c>
      <c r="B14" s="58" t="inlineStr">
        <is>
          <t>Phase 3 - Testing and commissioning</t>
        </is>
      </c>
      <c r="C14" s="58" t="inlineStr">
        <is>
          <t>Tier 1 audit items with no test or inspection date recorded</t>
        </is>
      </c>
      <c r="D14" s="63">
        <f>SUMPRODUCT(('16. Closure Audit Tracker'!$A$5:$A$204&lt;&gt;"")*('16. Closure Audit Tracker'!$L$5:$L$204=1)*('16. Closure Audit Tracker'!$Q$5:$Q$204=""))</f>
        <v/>
      </c>
      <c r="E14" s="58" t="inlineStr">
        <is>
          <t>Any</t>
        </is>
      </c>
      <c r="F14" s="58" t="inlineStr">
        <is>
          <t>Physical verification cannot be closed; schedule the test under the approved test plan</t>
        </is>
      </c>
      <c r="G14" s="58" t="inlineStr">
        <is>
          <t>PMC Quality Manager</t>
        </is>
      </c>
    </row>
    <row r="15">
      <c r="A15" s="56" t="inlineStr">
        <is>
          <t>R-11</t>
        </is>
      </c>
      <c r="B15" s="56" t="inlineStr">
        <is>
          <t>Phase 4 - Handover and taking-over</t>
        </is>
      </c>
      <c r="C15" s="56" t="inlineStr">
        <is>
          <t>Any NCR open for more than 30 calendar days</t>
        </is>
      </c>
      <c r="D15" s="63">
        <f>SUMPRODUCT(('2. NCR Register'!$A$5:$A$204&lt;&gt;"")*('2. NCR Register'!$Y$5:$Y$204="")*('2. NCR Register'!$B$5:$B$204&lt;&gt;"")*((TODAY()-'2. NCR Register'!$B$5:$B$204)&gt;30))</f>
        <v/>
      </c>
      <c r="E15" s="56" t="inlineStr">
        <is>
          <t>Any</t>
        </is>
      </c>
      <c r="F15" s="56" t="inlineStr">
        <is>
          <t>Escalation to the quarterly quality review with the client; recovery programme required</t>
        </is>
      </c>
      <c r="G15" s="56" t="inlineStr">
        <is>
          <t>PMC Project Director</t>
        </is>
      </c>
    </row>
    <row r="16">
      <c r="A16" s="58" t="inlineStr">
        <is>
          <t>R-12</t>
        </is>
      </c>
      <c r="B16" s="58" t="inlineStr">
        <is>
          <t>Phase 4 - Handover and taking-over</t>
        </is>
      </c>
      <c r="C16" s="58" t="inlineStr">
        <is>
          <t>Phase 4 (handover) items open past the agreed completion date</t>
        </is>
      </c>
      <c r="D16" s="63">
        <f>SUMPRODUCT(('2. NCR Register'!$A$5:$A$204&lt;&gt;"")*('2. NCR Register'!$AI$5:$AI$204="Phase 4 - Handover and taking-over")*('2. NCR Register'!$Y$5:$Y$204="")*('2. NCR Register'!$S$5:$S$204&lt;&gt;"")*('2. NCR Register'!$S$5:$S$204&lt;TODAY()))</f>
        <v/>
      </c>
      <c r="E16" s="58" t="inlineStr">
        <is>
          <t>Any</t>
        </is>
      </c>
      <c r="F16" s="58" t="inlineStr">
        <is>
          <t>Taking-over readiness review; the item is listed in the defects register with retention leverage</t>
        </is>
      </c>
      <c r="G16" s="58" t="inlineStr">
        <is>
          <t>PMC Resident Engineer</t>
        </is>
      </c>
    </row>
    <row r="17">
      <c r="A17" s="56" t="inlineStr">
        <is>
          <t>R-13</t>
        </is>
      </c>
      <c r="B17" s="56" t="inlineStr">
        <is>
          <t>Phase 5 - Defects liability and decennial</t>
        </is>
      </c>
      <c r="C17" s="56" t="inlineStr">
        <is>
          <t>Decennial register items in the high band not closed with a record</t>
        </is>
      </c>
      <c r="D17" s="63">
        <f>SUMPRODUCT(('17. Decennial Risk Register'!$A$5:$A$104&lt;&gt;"")*('17. Decennial Risk Register'!$L$5:$L$104="High")*('17. Decennial Risk Register'!$O$5:$O$104&lt;&gt;"Closed with record"))</f>
        <v/>
      </c>
      <c r="E17" s="56" t="inlineStr">
        <is>
          <t>Any</t>
        </is>
      </c>
      <c r="F17" s="56" t="inlineStr">
        <is>
          <t>Monitoring plan re-approved; next review date set; client informed in the assurance pack</t>
        </is>
      </c>
      <c r="G17" s="56" t="inlineStr">
        <is>
          <t>PMC Quality Manager</t>
        </is>
      </c>
    </row>
    <row r="18">
      <c r="A18" s="58" t="inlineStr">
        <is>
          <t>R-14</t>
        </is>
      </c>
      <c r="B18" s="58" t="inlineStr">
        <is>
          <t>Phase 5 - Defects liability and decennial</t>
        </is>
      </c>
      <c r="C18" s="58" t="inlineStr">
        <is>
          <t>Decennial items with a stability or safety impact and no next review date</t>
        </is>
      </c>
      <c r="D18" s="63">
        <f>SUMPRODUCT(('17. Decennial Risk Register'!$A$5:$A$104&lt;&gt;"")*('17. Decennial Risk Register'!$E$5:$E$104="Y")*('17. Decennial Risk Register'!$Q$5:$Q$104=""))</f>
        <v/>
      </c>
      <c r="E18" s="58" t="inlineStr">
        <is>
          <t>Any</t>
        </is>
      </c>
      <c r="F18" s="58" t="inlineStr">
        <is>
          <t>Immediate review date assignment; specialist re-assessment where the defect is progressive</t>
        </is>
      </c>
      <c r="G18" s="58" t="inlineStr">
        <is>
          <t>PMC Project Director</t>
        </is>
      </c>
    </row>
    <row r="19">
      <c r="A19" s="56" t="inlineStr">
        <is>
          <t>R-15</t>
        </is>
      </c>
      <c r="B19" s="56" t="inlineStr">
        <is>
          <t>Phase 5 - Defects liability and decennial</t>
        </is>
      </c>
      <c r="C19" s="56" t="inlineStr">
        <is>
          <t>Audit tracker items carrying an unresolved forensic red flag</t>
        </is>
      </c>
      <c r="D19" s="63">
        <f>SUMPRODUCT(('16. Closure Audit Tracker'!$A$5:$A$204&lt;&gt;"")*('16. Closure Audit Tracker'!$O$5:$O$204="Y")*('16. Closure Audit Tracker'!$V$5:$V$204&lt;&gt;"Escalated"))</f>
        <v/>
      </c>
      <c r="E19" s="56" t="inlineStr">
        <is>
          <t>Any</t>
        </is>
      </c>
      <c r="F19" s="56" t="inlineStr">
        <is>
          <t>Escalate under Appendix G category E within 30 days of the flag being recorded</t>
        </is>
      </c>
      <c r="G19" s="56" t="inlineStr">
        <is>
          <t>PMC Quality Manager</t>
        </is>
      </c>
    </row>
    <row r="21">
      <c r="A21" s="53" t="inlineStr">
        <is>
          <t>Item-level flags calculated in the NCR Register (columns AJ to AL)</t>
        </is>
      </c>
    </row>
    <row r="23">
      <c r="A23" s="56" t="inlineStr">
        <is>
          <t>F-01</t>
        </is>
      </c>
      <c r="B23" s="56" t="inlineStr">
        <is>
          <t>All phases</t>
        </is>
      </c>
      <c r="C23" s="56" t="inlineStr">
        <is>
          <t>NCRs flagged CRITICAL (auto score 10 or more)</t>
        </is>
      </c>
      <c r="D23" s="63">
        <f>COUNTIF('2. NCR Register'!$AK$5:$AK$204,"CRITICAL")</f>
        <v/>
      </c>
      <c r="E23" s="56" t="inlineStr">
        <is>
          <t>Any</t>
        </is>
      </c>
      <c r="F23" s="56" t="inlineStr">
        <is>
          <t>Same-day notification to the Project Director and the client's representative</t>
        </is>
      </c>
      <c r="G23" s="56" t="inlineStr">
        <is>
          <t>PMC Project Director</t>
        </is>
      </c>
    </row>
    <row r="24">
      <c r="A24" s="58" t="inlineStr">
        <is>
          <t>F-02</t>
        </is>
      </c>
      <c r="B24" s="58" t="inlineStr">
        <is>
          <t>All phases</t>
        </is>
      </c>
      <c r="C24" s="58" t="inlineStr">
        <is>
          <t>NCRs flagged HIGH (auto score 6 to 9)</t>
        </is>
      </c>
      <c r="D24" s="63">
        <f>COUNTIF('2. NCR Register'!$AK$5:$AK$204,"HIGH")</f>
        <v/>
      </c>
      <c r="E24" s="58" t="inlineStr">
        <is>
          <t>Any</t>
        </is>
      </c>
      <c r="F24" s="58" t="inlineStr">
        <is>
          <t>Included in the weekly assurance pack with the action owner and date</t>
        </is>
      </c>
      <c r="G24" s="58" t="inlineStr">
        <is>
          <t>PMC Quality Manager</t>
        </is>
      </c>
    </row>
    <row r="25">
      <c r="A25" s="56" t="inlineStr">
        <is>
          <t>F-03</t>
        </is>
      </c>
      <c r="B25" s="56" t="inlineStr">
        <is>
          <t>All phases</t>
        </is>
      </c>
      <c r="C25" s="56" t="inlineStr">
        <is>
          <t>NCRs flagged WATCH (auto score 3 to 5)</t>
        </is>
      </c>
      <c r="D25" s="63">
        <f>COUNTIF('2. NCR Register'!$AK$5:$AK$204,"WATCH")</f>
        <v/>
      </c>
      <c r="E25" s="56" t="inlineStr">
        <is>
          <t>Any</t>
        </is>
      </c>
      <c r="F25" s="56" t="inlineStr">
        <is>
          <t>Routine monitoring at the discipline meeting; review the score at the next update</t>
        </is>
      </c>
      <c r="G25" s="56" t="inlineStr">
        <is>
          <t>PMC Discipline Lead</t>
        </is>
      </c>
    </row>
    <row r="26">
      <c r="A26" s="58" t="inlineStr">
        <is>
          <t>F-04</t>
        </is>
      </c>
      <c r="B26" s="58" t="inlineStr">
        <is>
          <t>All phases</t>
        </is>
      </c>
      <c r="C26" s="58" t="inlineStr">
        <is>
          <t>Highest single auto risk score on the register</t>
        </is>
      </c>
      <c r="D26" s="63">
        <f>IFERROR(MAX('2. NCR Register'!$AJ$5:$AJ$204),"")</f>
        <v/>
      </c>
      <c r="E26" s="58" t="inlineStr">
        <is>
          <t>Report only</t>
        </is>
      </c>
      <c r="F26" s="58" t="inlineStr">
        <is>
          <t>Benchmark for trending; investigate any score of 12 or more as a priority item</t>
        </is>
      </c>
      <c r="G26" s="58" t="inlineStr">
        <is>
          <t>PMC Quality Manager</t>
        </is>
      </c>
    </row>
    <row r="27">
      <c r="A27" s="56" t="inlineStr">
        <is>
          <t>F-05</t>
        </is>
      </c>
      <c r="B27" s="56" t="inlineStr">
        <is>
          <t>All phases</t>
        </is>
      </c>
      <c r="C27" s="56" t="inlineStr">
        <is>
          <t>Average auto risk score across the open population</t>
        </is>
      </c>
      <c r="D27" s="63">
        <f>IFERROR(ROUND(AVERAGEIFS('2. NCR Register'!$AJ$5:$AJ$204,'2. NCR Register'!$AJ$5:$AJ$204,"&gt;0"),1),"")</f>
        <v/>
      </c>
      <c r="E27" s="56" t="inlineStr">
        <is>
          <t>Report only</t>
        </is>
      </c>
      <c r="F27" s="56" t="inlineStr">
        <is>
          <t>Trend indicator for the monthly assurance report</t>
        </is>
      </c>
      <c r="G27" s="56" t="inlineStr">
        <is>
          <t>PMC Quality Manager</t>
        </is>
      </c>
    </row>
    <row r="29">
      <c r="A29" s="53" t="inlineStr">
        <is>
          <t>Runbook - what to run, when, and for whom</t>
        </is>
      </c>
    </row>
    <row r="30">
      <c r="A30" s="56" t="inlineStr">
        <is>
          <t>Daily</t>
        </is>
      </c>
      <c r="B30" s="56" t="inlineStr">
        <is>
          <t>Open sheet 2 and filter column AK on CRITICAL and HIGH; clear the daily site-meeting list</t>
        </is>
      </c>
      <c r="C30" s="56" t="inlineStr">
        <is>
          <t>Highlighted NCR list with the alert reason</t>
        </is>
      </c>
      <c r="D30" s="56" t="inlineStr">
        <is>
          <t>Resident Engineer and contractor QA/QC manager</t>
        </is>
      </c>
    </row>
    <row r="31">
      <c r="A31" s="58" t="inlineStr">
        <is>
          <t>Weekly</t>
        </is>
      </c>
      <c r="B31" s="58" t="inlineStr">
        <is>
          <t>Refresh sheet 19; issue the alert counts with new, closed and overdue items</t>
        </is>
      </c>
      <c r="C31" s="58" t="inlineStr">
        <is>
          <t>Weekly assurance one-pager</t>
        </is>
      </c>
      <c r="D31" s="58" t="inlineStr">
        <is>
          <t>Contractor's project manager and PMC Project Director</t>
        </is>
      </c>
    </row>
    <row r="32">
      <c r="A32" s="56" t="inlineStr">
        <is>
          <t>Fortnightly</t>
        </is>
      </c>
      <c r="B32" s="56" t="inlineStr">
        <is>
          <t>Run the SQL query pack (ncr_flag_queries.sql) through the runner for ranked, cross-phase and cross-project flags</t>
        </is>
      </c>
      <c r="C32" s="56" t="inlineStr">
        <is>
          <t>NCR_Risk_Query_Report.xlsx with one tab per query and the ranked Q-99 priority list</t>
        </is>
      </c>
      <c r="D32" s="56" t="inlineStr">
        <is>
          <t>PMC Quality Manager and client quality representative</t>
        </is>
      </c>
    </row>
    <row r="33">
      <c r="A33" s="58" t="inlineStr">
        <is>
          <t>Monthly</t>
        </is>
      </c>
      <c r="B33" s="58" t="inlineStr">
        <is>
          <t>Run the closure audit refresh (sheet 16) and the decennial review (sheet 17)</t>
        </is>
      </c>
      <c r="C33" s="58" t="inlineStr">
        <is>
          <t>Audit progress and residual risk position</t>
        </is>
      </c>
      <c r="D33" s="58" t="inlineStr">
        <is>
          <t>Client and PMC Project Director</t>
        </is>
      </c>
    </row>
    <row r="34">
      <c r="A34" s="56" t="inlineStr">
        <is>
          <t>Quarterly</t>
        </is>
      </c>
      <c r="B34" s="56" t="inlineStr">
        <is>
          <t>Run the CAPA effectiveness queries (Q-70 to Q-72) and the repeat root cause analysis</t>
        </is>
      </c>
      <c r="C34" s="56" t="inlineStr">
        <is>
          <t>Systemic failure list and preventive action view</t>
        </is>
      </c>
      <c r="D34" s="56" t="inlineStr">
        <is>
          <t>Employer's Representative and PMC Project Director</t>
        </is>
      </c>
    </row>
    <row r="35">
      <c r="A35" s="58" t="inlineStr">
        <is>
          <t>On trigger</t>
        </is>
      </c>
      <c r="B35" s="58" t="inlineStr">
        <is>
          <t>Any audit trigger event in Section 4 of protocol PMC-QA-AUD-004: run queries Q-40 to Q-52 against the closed population</t>
        </is>
      </c>
      <c r="C35" s="58" t="inlineStr">
        <is>
          <t>Retrospective audit worklist by disposition</t>
        </is>
      </c>
      <c r="D35" s="58" t="inlineStr">
        <is>
          <t>PMC Quality Manager, escalated to the client</t>
        </is>
      </c>
    </row>
  </sheetData>
  <mergeCells count="2">
    <mergeCell ref="A2:G2"/>
    <mergeCell ref="A1:G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2026-10-07T06:47:33Z</dcterms:created>
  <dcterms:modified xmlns:dcterms="http://purl.org/dc/terms/" xmlns:xsi="http://www.w3.org/2001/XMLSchema-instance" xsi:type="dcterms:W3CDTF">2026-10-07T06:47:33Z</dcterms:modified>
</cp:coreProperties>
</file>